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80" windowHeight="11640" tabRatio="911" activeTab="1"/>
  </bookViews>
  <sheets>
    <sheet name="ДАННЫЕ" sheetId="1" r:id="rId1"/>
    <sheet name="Распределение дотации" sheetId="2" r:id="rId2"/>
    <sheet name="Индекс налогового потенциал" sheetId="3" r:id="rId3"/>
    <sheet name="Индекс бюджетных расходов" sheetId="4" r:id="rId4"/>
    <sheet name="ЧИСЛЕННОСТЬ" sheetId="5" r:id="rId5"/>
    <sheet name="расчет РФФПП старый 2012" sheetId="6" r:id="rId6"/>
    <sheet name="Лист2" sheetId="7" r:id="rId7"/>
  </sheets>
  <definedNames>
    <definedName name="_xlnm.Print_Titles" localSheetId="0">'ДАННЫЕ'!$A:$A</definedName>
    <definedName name="_xlnm.Print_Titles" localSheetId="3">'Индекс бюджетных расходов'!$A:$A</definedName>
    <definedName name="_xlnm.Print_Titles" localSheetId="2">'Индекс налогового потенциал'!$A:$A</definedName>
    <definedName name="_xlnm.Print_Titles" localSheetId="5">'расчет РФФПП старый 2012'!$A:$A</definedName>
    <definedName name="размер_дотации" localSheetId="2">#REF!</definedName>
    <definedName name="размер_дотации" localSheetId="4">#REF!</definedName>
    <definedName name="размер_дотации">#REF!</definedName>
  </definedNames>
  <calcPr fullCalcOnLoad="1"/>
</workbook>
</file>

<file path=xl/sharedStrings.xml><?xml version="1.0" encoding="utf-8"?>
<sst xmlns="http://schemas.openxmlformats.org/spreadsheetml/2006/main" count="706" uniqueCount="468">
  <si>
    <t>поселение</t>
  </si>
  <si>
    <t>расчет</t>
  </si>
  <si>
    <t>ИТОГО</t>
  </si>
  <si>
    <t>НДФЛ</t>
  </si>
  <si>
    <t>ЕС/хН</t>
  </si>
  <si>
    <t>налог на имущество</t>
  </si>
  <si>
    <t>земельный налог</t>
  </si>
  <si>
    <t>К1</t>
  </si>
  <si>
    <t>Поправочный коэффициент, учитывающий экономические особенности поселений</t>
  </si>
  <si>
    <t>К2</t>
  </si>
  <si>
    <t>Батама</t>
  </si>
  <si>
    <t>Буря</t>
  </si>
  <si>
    <t>Зулумай</t>
  </si>
  <si>
    <t>Кимильтей</t>
  </si>
  <si>
    <t>Масляногорск</t>
  </si>
  <si>
    <t>Новолетники</t>
  </si>
  <si>
    <t>Покровка</t>
  </si>
  <si>
    <t>Ухтуй</t>
  </si>
  <si>
    <t>Услон</t>
  </si>
  <si>
    <t>Филипповск</t>
  </si>
  <si>
    <t>Хазан</t>
  </si>
  <si>
    <t>Харайгун</t>
  </si>
  <si>
    <t>ИБРi</t>
  </si>
  <si>
    <t>ИНПi</t>
  </si>
  <si>
    <t>НПi</t>
  </si>
  <si>
    <t>Кi</t>
  </si>
  <si>
    <t>ПП</t>
  </si>
  <si>
    <t>устанавливается решением Думы</t>
  </si>
  <si>
    <t>(в рублях)</t>
  </si>
  <si>
    <t xml:space="preserve">земельный налог </t>
  </si>
  <si>
    <t>Показатель среднедушевых налоговых доходов i-го поселения</t>
  </si>
  <si>
    <t>Показатель среднедушевых налоговых доходов всех поселений муниципального района</t>
  </si>
  <si>
    <t>НП</t>
  </si>
  <si>
    <t>по статист.данным</t>
  </si>
  <si>
    <t>налоговые доходы по дополнительным нормативам</t>
  </si>
  <si>
    <t>Размер районного фонда финансовой поддержки поселений</t>
  </si>
  <si>
    <t>Всего налоговые доходы бюджета муниц. района, утвержденные решением, из них</t>
  </si>
  <si>
    <t>Объем налоговых доходов поселений по единым нормативам отчислений от налогов и сборов, подлижащих зачислению в бюджет муниц.района, в бюджет поселений, установленные предст. органом муниц.района в соответствии с ч. 4 ст. 61 БК РФ</t>
  </si>
  <si>
    <r>
      <t xml:space="preserve">НД </t>
    </r>
    <r>
      <rPr>
        <vertAlign val="superscript"/>
        <sz val="10"/>
        <rFont val="Times New Roman"/>
        <family val="1"/>
      </rPr>
      <t>ЕН</t>
    </r>
  </si>
  <si>
    <t xml:space="preserve">дотация на выравнивание бюджетной обеспеченности муниц. района </t>
  </si>
  <si>
    <t>Размер дотации на выравнивание бюджетной обеспеченности муниц. района (а также объем налоговых доходов по дополнительным нормативам отчислений) бюджету муниц. района, утвержденный законом области</t>
  </si>
  <si>
    <t>Наименование показателя</t>
  </si>
  <si>
    <t>Расчет</t>
  </si>
  <si>
    <t>решение Думы</t>
  </si>
  <si>
    <t>ННД (решение Думы)</t>
  </si>
  <si>
    <t>(закон Иркут.обл.)</t>
  </si>
  <si>
    <t>НД (стр.3-стр.4)</t>
  </si>
  <si>
    <t>ДВБОМР (стр.7+стр.4)</t>
  </si>
  <si>
    <t>Дi</t>
  </si>
  <si>
    <t>уровень бюджетной обеспеченности, до которого доводится уровень БО всех поселений муниц.района</t>
  </si>
  <si>
    <t>БО</t>
  </si>
  <si>
    <t>БОi</t>
  </si>
  <si>
    <t>ИНПi/ИБРi</t>
  </si>
  <si>
    <t>индекс расходов i-го поселения</t>
  </si>
  <si>
    <t>Размер дотации на выравнивание бюджетной обеспеченности поселений (а также объем налоговых доходов по дополнительным нормативам отчислений) i-му поселению</t>
  </si>
  <si>
    <t>ДВБОПi</t>
  </si>
  <si>
    <t>Расчетная численность постоянного населения i-го поселения</t>
  </si>
  <si>
    <t>РНi</t>
  </si>
  <si>
    <t>индекс налогового потенциала i-го поселения</t>
  </si>
  <si>
    <t>НПi/НП+(РПi-НПi)/НП х 0,25 хК</t>
  </si>
  <si>
    <t>РПi</t>
  </si>
  <si>
    <t>государственная пошлина, подлежащая зачислению в бюджеты поселений</t>
  </si>
  <si>
    <t>Численность постоянного населения всех поселений муниципального района на 1 января текущего финансового года</t>
  </si>
  <si>
    <t>Н</t>
  </si>
  <si>
    <t>ПП/Н</t>
  </si>
  <si>
    <r>
      <rPr>
        <sz val="11"/>
        <rFont val="Calibri"/>
        <family val="2"/>
      </rPr>
      <t>∑</t>
    </r>
    <r>
      <rPr>
        <sz val="10"/>
        <rFont val="Times New Roman"/>
        <family val="1"/>
      </rPr>
      <t xml:space="preserve"> ППj</t>
    </r>
  </si>
  <si>
    <t>УПi1=(Кпред.отч.,i х 0,4 + Котч.i, х 0,6)/РНi</t>
  </si>
  <si>
    <t>УПi2=(Епред.отч.,i х 0,4 + Еотч.i, х 0,6)/РНi</t>
  </si>
  <si>
    <t>УПi3=(Епред.отч.,i х 0,4 + Еотч.i, х 0,6)/РНi</t>
  </si>
  <si>
    <t>УПi4=(Епред.отч.,i х 0,4 + Еотч.i, х 0,6)/РНi</t>
  </si>
  <si>
    <t>УПi5=(Кпред.отч.,i х 0,4 + Котч.i, х 0,6)/РНi</t>
  </si>
  <si>
    <r>
      <t xml:space="preserve">                       Показатель среднедушевых поступлений в контингенте i-го поселения по j-му виду дохода </t>
    </r>
    <r>
      <rPr>
        <b/>
        <sz val="10"/>
        <rFont val="Times New Roman"/>
        <family val="1"/>
      </rPr>
      <t xml:space="preserve">(УП i,j)     </t>
    </r>
    <r>
      <rPr>
        <sz val="10"/>
        <rFont val="Times New Roman"/>
        <family val="1"/>
      </rPr>
      <t xml:space="preserve">                               Условные поступления (УПi)</t>
    </r>
  </si>
  <si>
    <r>
      <rPr>
        <sz val="11"/>
        <rFont val="Calibri"/>
        <family val="2"/>
      </rPr>
      <t>∑</t>
    </r>
    <r>
      <rPr>
        <sz val="11"/>
        <rFont val="Times New Roman"/>
        <family val="1"/>
      </rPr>
      <t xml:space="preserve"> (УПij/УПj хППj/Н), или </t>
    </r>
    <r>
      <rPr>
        <sz val="11"/>
        <rFont val="Calibri"/>
        <family val="2"/>
      </rPr>
      <t xml:space="preserve">∑ </t>
    </r>
    <r>
      <rPr>
        <sz val="10"/>
        <rFont val="Times New Roman"/>
        <family val="1"/>
      </rPr>
      <t>НПi,j</t>
    </r>
  </si>
  <si>
    <r>
      <rPr>
        <sz val="11"/>
        <rFont val="Calibri"/>
        <family val="2"/>
      </rPr>
      <t>∑</t>
    </r>
    <r>
      <rPr>
        <sz val="10"/>
        <rFont val="Times New Roman"/>
        <family val="1"/>
      </rPr>
      <t xml:space="preserve"> (УП тек.,ij / УП тек.,j х ППj / Н), или </t>
    </r>
    <r>
      <rPr>
        <sz val="10"/>
        <rFont val="Calibri"/>
        <family val="2"/>
      </rPr>
      <t>∑</t>
    </r>
    <r>
      <rPr>
        <sz val="9.1"/>
        <rFont val="Times New Roman"/>
        <family val="1"/>
      </rPr>
      <t xml:space="preserve"> РПij</t>
    </r>
  </si>
  <si>
    <r>
      <t xml:space="preserve">Начисления за 1-е полугодие текущего финансового года в контингенте i-го поселения по соответствующему j-му виду доходов на одного жителя -го поселения </t>
    </r>
    <r>
      <rPr>
        <b/>
        <sz val="10"/>
        <rFont val="Times New Roman"/>
        <family val="1"/>
      </rPr>
      <t>(УП тек.,ij)</t>
    </r>
  </si>
  <si>
    <r>
      <t xml:space="preserve">Поступления за 1-е полугодие текущего финансового года в контингенте i-го поселения по соответствующему j-му виду доходов на одного жителя -го поселения </t>
    </r>
    <r>
      <rPr>
        <b/>
        <sz val="10"/>
        <rFont val="Times New Roman"/>
        <family val="1"/>
      </rPr>
      <t>(УП тек.,ij)</t>
    </r>
  </si>
  <si>
    <t>поступило всего</t>
  </si>
  <si>
    <t>данные ФСГС</t>
  </si>
  <si>
    <t>Кi,1 х Кi,2</t>
  </si>
  <si>
    <t>Поправочный коэффициент на административно-территориальное деление поселений</t>
  </si>
  <si>
    <t>установлен Приложении к закону 56-оз</t>
  </si>
  <si>
    <t>применение устанавливается решением Думы</t>
  </si>
  <si>
    <t>НГij + НССij</t>
  </si>
  <si>
    <t>НССij</t>
  </si>
  <si>
    <t>НГ ij</t>
  </si>
  <si>
    <t>НСij х (1 - (∑ i(НСij) + (∑ i(НГij) + НМТj - Нj) / ∑ i(НСij))</t>
  </si>
  <si>
    <t>НС ij</t>
  </si>
  <si>
    <t>НМТ j</t>
  </si>
  <si>
    <t xml:space="preserve">Численность постоянного населения муниципального района по данным стат.бюллетеня Иркутскстата "Численность населения по городам и районам"  </t>
  </si>
  <si>
    <t>Н j</t>
  </si>
  <si>
    <t>Численность населения, проживающего в i-м поселении, расположенном на территории, отнесенной к районам Крайнего Севера и приравненным к ним местностям с ограниченными сроками завоза грузов (продукции)</t>
  </si>
  <si>
    <r>
      <t xml:space="preserve">Н </t>
    </r>
    <r>
      <rPr>
        <b/>
        <vertAlign val="superscript"/>
        <sz val="12"/>
        <rFont val="Times New Roman"/>
        <family val="1"/>
      </rPr>
      <t>тр</t>
    </r>
    <r>
      <rPr>
        <b/>
        <sz val="12"/>
        <rFont val="Times New Roman"/>
        <family val="1"/>
      </rPr>
      <t>i</t>
    </r>
  </si>
  <si>
    <t>Численность населения i-го поселения, проживающего в населенных пунктах с численностью населения не более 500 человек</t>
  </si>
  <si>
    <r>
      <t>Н</t>
    </r>
    <r>
      <rPr>
        <b/>
        <vertAlign val="superscript"/>
        <sz val="12"/>
        <rFont val="Times New Roman"/>
        <family val="1"/>
      </rPr>
      <t>500</t>
    </r>
    <r>
      <rPr>
        <b/>
        <sz val="12"/>
        <rFont val="Times New Roman"/>
        <family val="1"/>
      </rPr>
      <t>i</t>
    </r>
  </si>
  <si>
    <t>Коэффициент стоимости предоставления бюджетных услуг в i-м поселении</t>
  </si>
  <si>
    <r>
      <t>К</t>
    </r>
    <r>
      <rPr>
        <b/>
        <vertAlign val="superscript"/>
        <sz val="12"/>
        <rFont val="Times New Roman"/>
        <family val="1"/>
      </rPr>
      <t>стоим</t>
    </r>
    <r>
      <rPr>
        <b/>
        <sz val="12"/>
        <rFont val="Times New Roman"/>
        <family val="1"/>
      </rPr>
      <t>i</t>
    </r>
  </si>
  <si>
    <r>
      <t>К</t>
    </r>
    <r>
      <rPr>
        <b/>
        <vertAlign val="superscript"/>
        <sz val="12"/>
        <rFont val="Times New Roman"/>
        <family val="1"/>
      </rPr>
      <t>стр</t>
    </r>
    <r>
      <rPr>
        <b/>
        <sz val="12"/>
        <rFont val="Times New Roman"/>
        <family val="1"/>
      </rPr>
      <t>i</t>
    </r>
  </si>
  <si>
    <t>Коэффициент структуры потребителей бюджетных услуг в i-м поселении</t>
  </si>
  <si>
    <r>
      <t>К</t>
    </r>
    <r>
      <rPr>
        <vertAlign val="superscript"/>
        <sz val="11"/>
        <rFont val="Times New Roman"/>
        <family val="1"/>
      </rPr>
      <t>стоим</t>
    </r>
    <r>
      <rPr>
        <sz val="11"/>
        <rFont val="Times New Roman"/>
        <family val="1"/>
      </rPr>
      <t>i х К</t>
    </r>
    <r>
      <rPr>
        <vertAlign val="superscript"/>
        <sz val="11"/>
        <rFont val="Times New Roman"/>
        <family val="1"/>
      </rPr>
      <t>стр</t>
    </r>
    <r>
      <rPr>
        <sz val="11"/>
        <rFont val="Times New Roman"/>
        <family val="1"/>
      </rPr>
      <t>i х ∑ i(РНi) / ∑ (К</t>
    </r>
    <r>
      <rPr>
        <vertAlign val="superscript"/>
        <sz val="11"/>
        <rFont val="Times New Roman"/>
        <family val="1"/>
      </rPr>
      <t>стр</t>
    </r>
    <r>
      <rPr>
        <sz val="11"/>
        <rFont val="Times New Roman"/>
        <family val="1"/>
      </rPr>
      <t>i х К</t>
    </r>
    <r>
      <rPr>
        <vertAlign val="superscript"/>
        <sz val="11"/>
        <rFont val="Times New Roman"/>
        <family val="1"/>
      </rPr>
      <t>стоим</t>
    </r>
    <r>
      <rPr>
        <sz val="11"/>
        <rFont val="Times New Roman"/>
        <family val="1"/>
      </rPr>
      <t>i х РНi)</t>
    </r>
  </si>
  <si>
    <r>
      <t>∑ (К</t>
    </r>
    <r>
      <rPr>
        <b/>
        <vertAlign val="superscript"/>
        <sz val="12"/>
        <rFont val="Times New Roman"/>
        <family val="1"/>
      </rPr>
      <t>стр</t>
    </r>
    <r>
      <rPr>
        <b/>
        <sz val="12"/>
        <rFont val="Times New Roman"/>
        <family val="1"/>
      </rPr>
      <t>i х К</t>
    </r>
    <r>
      <rPr>
        <b/>
        <vertAlign val="superscript"/>
        <sz val="12"/>
        <rFont val="Times New Roman"/>
        <family val="1"/>
      </rPr>
      <t>стоим</t>
    </r>
    <r>
      <rPr>
        <b/>
        <sz val="12"/>
        <rFont val="Times New Roman"/>
        <family val="1"/>
      </rPr>
      <t>i х РНi)</t>
    </r>
  </si>
  <si>
    <r>
      <t>А1 х К</t>
    </r>
    <r>
      <rPr>
        <vertAlign val="superscript"/>
        <sz val="11"/>
        <rFont val="Times New Roman"/>
        <family val="1"/>
      </rPr>
      <t>зп</t>
    </r>
    <r>
      <rPr>
        <sz val="11"/>
        <rFont val="Times New Roman"/>
        <family val="1"/>
      </rPr>
      <t>i + А2 х К</t>
    </r>
    <r>
      <rPr>
        <vertAlign val="superscript"/>
        <sz val="11"/>
        <rFont val="Times New Roman"/>
        <family val="1"/>
      </rPr>
      <t>цен</t>
    </r>
    <r>
      <rPr>
        <sz val="11"/>
        <rFont val="Times New Roman"/>
        <family val="1"/>
      </rPr>
      <t>i + А3 х К</t>
    </r>
    <r>
      <rPr>
        <vertAlign val="superscript"/>
        <sz val="11"/>
        <rFont val="Times New Roman"/>
        <family val="1"/>
      </rPr>
      <t>жку</t>
    </r>
    <r>
      <rPr>
        <sz val="11"/>
        <rFont val="Times New Roman"/>
        <family val="1"/>
      </rPr>
      <t>i</t>
    </r>
  </si>
  <si>
    <t>А1</t>
  </si>
  <si>
    <t>А2</t>
  </si>
  <si>
    <t>А3</t>
  </si>
  <si>
    <t>Весовые коэффициенты, устанавливаемые решением представительного органа муницапального района (А1, А2, А3 &gt; 0, А1+А2+А3 = 1)</t>
  </si>
  <si>
    <t>Коэффициент дифференциации заработной платы в i-м поселении</t>
  </si>
  <si>
    <r>
      <t>К</t>
    </r>
    <r>
      <rPr>
        <b/>
        <vertAlign val="superscript"/>
        <sz val="12"/>
        <rFont val="Times New Roman"/>
        <family val="1"/>
      </rPr>
      <t>зп</t>
    </r>
    <r>
      <rPr>
        <b/>
        <sz val="12"/>
        <rFont val="Times New Roman"/>
        <family val="1"/>
      </rPr>
      <t>i</t>
    </r>
  </si>
  <si>
    <r>
      <t>К</t>
    </r>
    <r>
      <rPr>
        <b/>
        <vertAlign val="superscript"/>
        <sz val="12"/>
        <rFont val="Times New Roman"/>
        <family val="1"/>
      </rPr>
      <t>цен</t>
    </r>
    <r>
      <rPr>
        <b/>
        <sz val="12"/>
        <rFont val="Times New Roman"/>
        <family val="1"/>
      </rPr>
      <t>i</t>
    </r>
  </si>
  <si>
    <t>Коэффициент цен в i-м поселении</t>
  </si>
  <si>
    <t>Коэффициент стоимости жилищно-коммунальных услуг в i-м поселении</t>
  </si>
  <si>
    <r>
      <t>К</t>
    </r>
    <r>
      <rPr>
        <b/>
        <vertAlign val="superscript"/>
        <sz val="12"/>
        <rFont val="Times New Roman"/>
        <family val="1"/>
      </rPr>
      <t>жку</t>
    </r>
    <r>
      <rPr>
        <b/>
        <sz val="12"/>
        <rFont val="Times New Roman"/>
        <family val="1"/>
      </rPr>
      <t>i</t>
    </r>
  </si>
  <si>
    <t>Районный коэффициент и процентная надбавка к заработной плате за стаж работы в районах Крайнего Севера и приравненных к ним местностях работников бюджетной сферы i-го поселения</t>
  </si>
  <si>
    <t>РКi</t>
  </si>
  <si>
    <t>РК</t>
  </si>
  <si>
    <t>Средневзвешенные районные коэффициенты и процентные надбавки к заработной плате за стаж работы в районах Крайнего Севера и приравненных к ним местностях работников бюджетной сферы поселений</t>
  </si>
  <si>
    <t>Коэффициент отдаленности для поселений, расположенных на территориях, отнесенных к районам Крайнего Севера и приравненным к ним местностям, составляет: для поселений, имеющих выход на железнодорожную магистраль - 1,1; для поселений, не имеющих выхода на железнодорожную магистраль - 1,6; для остальных поселений - 1</t>
  </si>
  <si>
    <r>
      <t>К</t>
    </r>
    <r>
      <rPr>
        <b/>
        <vertAlign val="superscript"/>
        <sz val="12"/>
        <rFont val="Times New Roman"/>
        <family val="1"/>
      </rPr>
      <t>отд</t>
    </r>
    <r>
      <rPr>
        <b/>
        <sz val="12"/>
        <rFont val="Times New Roman"/>
        <family val="1"/>
      </rPr>
      <t>i</t>
    </r>
  </si>
  <si>
    <t>К отд</t>
  </si>
  <si>
    <t>Средневзвешенный коэффициет отдаленности</t>
  </si>
  <si>
    <t>Предельная стоимость предоставляемых жилищно-коммунальных услуг в расчете на 1 кв. метр общей площади жилья в месяц в i-м поселении, установленная нормативными правовыми актами Иркутской области (руб.)</t>
  </si>
  <si>
    <t>Стоимость капитального ремонта жилого помещения в расчете на 1 кв.м общей площади жилья в месяц в i-м поселении, установленная нормативными правовыми актами Иркутской области</t>
  </si>
  <si>
    <r>
      <t>R</t>
    </r>
    <r>
      <rPr>
        <b/>
        <vertAlign val="superscript"/>
        <sz val="12"/>
        <rFont val="Times New Roman"/>
        <family val="1"/>
      </rPr>
      <t>кап</t>
    </r>
    <r>
      <rPr>
        <b/>
        <i/>
        <sz val="12"/>
        <rFont val="Times New Roman"/>
        <family val="1"/>
      </rPr>
      <t>i</t>
    </r>
  </si>
  <si>
    <t>Федеральный стандарт предельной стоимости капитального ремонта жилого помещения в расчете на 1 кв.м общей площади жилья в месяц, установленный для Иркутской области Правительством Российской Федерации</t>
  </si>
  <si>
    <r>
      <t>R</t>
    </r>
    <r>
      <rPr>
        <b/>
        <vertAlign val="superscript"/>
        <sz val="12"/>
        <rFont val="Times New Roman"/>
        <family val="1"/>
      </rPr>
      <t>кап</t>
    </r>
  </si>
  <si>
    <t>Федеральный стандарт предельной стоимости предоставляемых жилищно-коммунальных услуг в расчете на 1 кв. метр общей площади жилья в месяц, установленный для Иркутской области Правительством Российской Федерации (руб.)</t>
  </si>
  <si>
    <r>
      <t>(R</t>
    </r>
    <r>
      <rPr>
        <vertAlign val="superscript"/>
        <sz val="11"/>
        <rFont val="Times New Roman"/>
        <family val="1"/>
      </rPr>
      <t>жку</t>
    </r>
    <r>
      <rPr>
        <sz val="11"/>
        <rFont val="Times New Roman"/>
        <family val="1"/>
      </rPr>
      <t>i + R</t>
    </r>
    <r>
      <rPr>
        <vertAlign val="superscript"/>
        <sz val="11"/>
        <rFont val="Times New Roman"/>
        <family val="1"/>
      </rPr>
      <t>кап</t>
    </r>
    <r>
      <rPr>
        <sz val="11"/>
        <rFont val="Times New Roman"/>
        <family val="1"/>
      </rPr>
      <t>i) / (R</t>
    </r>
    <r>
      <rPr>
        <vertAlign val="superscript"/>
        <sz val="11"/>
        <rFont val="Times New Roman"/>
        <family val="1"/>
      </rPr>
      <t>жку</t>
    </r>
    <r>
      <rPr>
        <sz val="11"/>
        <rFont val="Times New Roman"/>
        <family val="1"/>
      </rPr>
      <t xml:space="preserve"> + R</t>
    </r>
    <r>
      <rPr>
        <vertAlign val="superscript"/>
        <sz val="11"/>
        <rFont val="Times New Roman"/>
        <family val="1"/>
      </rPr>
      <t>кап</t>
    </r>
    <r>
      <rPr>
        <sz val="11"/>
        <rFont val="Times New Roman"/>
        <family val="1"/>
      </rPr>
      <t>)</t>
    </r>
  </si>
  <si>
    <r>
      <t>R</t>
    </r>
    <r>
      <rPr>
        <b/>
        <i/>
        <vertAlign val="superscript"/>
        <sz val="12"/>
        <rFont val="Times New Roman"/>
        <family val="1"/>
      </rPr>
      <t>жку</t>
    </r>
    <r>
      <rPr>
        <b/>
        <i/>
        <sz val="12"/>
        <rFont val="Times New Roman"/>
        <family val="1"/>
      </rPr>
      <t>i</t>
    </r>
  </si>
  <si>
    <r>
      <t>R</t>
    </r>
    <r>
      <rPr>
        <b/>
        <i/>
        <vertAlign val="superscript"/>
        <sz val="12"/>
        <rFont val="Times New Roman"/>
        <family val="1"/>
      </rPr>
      <t>жку</t>
    </r>
  </si>
  <si>
    <t>Коэффициент транспортной доступности, составляющий для поселений, расположенных на территориях, отнесенных к районам Крайнего Севера и приравненным к ним местностям с ограниченными сроками завоза грузов (продукции), - 1,5</t>
  </si>
  <si>
    <r>
      <t>К</t>
    </r>
    <r>
      <rPr>
        <b/>
        <vertAlign val="superscript"/>
        <sz val="12"/>
        <rFont val="Times New Roman"/>
        <family val="1"/>
      </rPr>
      <t>тр</t>
    </r>
  </si>
  <si>
    <r>
      <t>Н</t>
    </r>
    <r>
      <rPr>
        <b/>
        <vertAlign val="superscript"/>
        <sz val="12"/>
        <rFont val="Times New Roman"/>
        <family val="1"/>
      </rPr>
      <t>тр</t>
    </r>
    <r>
      <rPr>
        <b/>
        <sz val="12"/>
        <rFont val="Times New Roman"/>
        <family val="1"/>
      </rPr>
      <t>i</t>
    </r>
  </si>
  <si>
    <r>
      <t>В1 х К</t>
    </r>
    <r>
      <rPr>
        <vertAlign val="superscript"/>
        <sz val="11"/>
        <rFont val="Times New Roman"/>
        <family val="1"/>
      </rPr>
      <t>м</t>
    </r>
    <r>
      <rPr>
        <sz val="11"/>
        <rFont val="Times New Roman"/>
        <family val="1"/>
      </rPr>
      <t>i + В2 х К</t>
    </r>
    <r>
      <rPr>
        <vertAlign val="superscript"/>
        <sz val="11"/>
        <rFont val="Times New Roman"/>
        <family val="1"/>
      </rPr>
      <t>у</t>
    </r>
    <r>
      <rPr>
        <sz val="11"/>
        <rFont val="Times New Roman"/>
        <family val="1"/>
      </rPr>
      <t>i + В3 х К</t>
    </r>
    <r>
      <rPr>
        <vertAlign val="superscript"/>
        <sz val="11"/>
        <rFont val="Times New Roman"/>
        <family val="1"/>
      </rPr>
      <t>дисп</t>
    </r>
    <r>
      <rPr>
        <sz val="11"/>
        <rFont val="Times New Roman"/>
        <family val="1"/>
      </rPr>
      <t>i</t>
    </r>
  </si>
  <si>
    <t>Весовые коэффициенты, устанавливаемые решением представительного органа муницапального района (В1, В2, В3 &gt; 0, В1+В2+В3 = 1)</t>
  </si>
  <si>
    <t>В1</t>
  </si>
  <si>
    <t>В2</t>
  </si>
  <si>
    <t>В3</t>
  </si>
  <si>
    <t>Коэффициент масштаба i-го поселения</t>
  </si>
  <si>
    <r>
      <t>К</t>
    </r>
    <r>
      <rPr>
        <b/>
        <vertAlign val="superscript"/>
        <sz val="12"/>
        <rFont val="Times New Roman"/>
        <family val="1"/>
      </rPr>
      <t>м</t>
    </r>
    <r>
      <rPr>
        <b/>
        <sz val="12"/>
        <rFont val="Times New Roman"/>
        <family val="1"/>
      </rPr>
      <t>i</t>
    </r>
  </si>
  <si>
    <t>Коэффициент урбанизации i-го поселения</t>
  </si>
  <si>
    <r>
      <t>К</t>
    </r>
    <r>
      <rPr>
        <b/>
        <vertAlign val="superscript"/>
        <sz val="12"/>
        <rFont val="Times New Roman"/>
        <family val="1"/>
      </rPr>
      <t>у</t>
    </r>
    <r>
      <rPr>
        <b/>
        <sz val="12"/>
        <rFont val="Times New Roman"/>
        <family val="1"/>
      </rPr>
      <t>i</t>
    </r>
  </si>
  <si>
    <t>Источник</t>
  </si>
  <si>
    <t>Ед.изм.</t>
  </si>
  <si>
    <t>Условные обозначения</t>
  </si>
  <si>
    <t>Объем налоговых доходов (за исключением налоговых доходов по дополнительным нормативам отчислений) бюджета муниц. района, утвержденные решением на очередной финансовый год</t>
  </si>
  <si>
    <t>НД</t>
  </si>
  <si>
    <t>руб.</t>
  </si>
  <si>
    <t>ДВБОМР</t>
  </si>
  <si>
    <t>Закон Иркутской области</t>
  </si>
  <si>
    <t>ДВБОП</t>
  </si>
  <si>
    <t>(закон Иркутской области)</t>
  </si>
  <si>
    <t>ППj</t>
  </si>
  <si>
    <r>
      <t xml:space="preserve">НД </t>
    </r>
    <r>
      <rPr>
        <vertAlign val="superscript"/>
        <sz val="12"/>
        <rFont val="Times New Roman"/>
        <family val="1"/>
      </rPr>
      <t>ЕН</t>
    </r>
  </si>
  <si>
    <r>
      <t>Е</t>
    </r>
    <r>
      <rPr>
        <vertAlign val="subscript"/>
        <sz val="12"/>
        <rFont val="Times New Roman"/>
        <family val="1"/>
      </rPr>
      <t>пред.отч.,i</t>
    </r>
  </si>
  <si>
    <r>
      <t>Е</t>
    </r>
    <r>
      <rPr>
        <vertAlign val="subscript"/>
        <sz val="12"/>
        <rFont val="Times New Roman"/>
        <family val="1"/>
      </rPr>
      <t>отч.,i</t>
    </r>
  </si>
  <si>
    <r>
      <t>К</t>
    </r>
    <r>
      <rPr>
        <vertAlign val="subscript"/>
        <sz val="12"/>
        <rFont val="Times New Roman"/>
        <family val="1"/>
      </rPr>
      <t>пред.отч.,i</t>
    </r>
  </si>
  <si>
    <r>
      <t>К</t>
    </r>
    <r>
      <rPr>
        <vertAlign val="subscript"/>
        <sz val="12"/>
        <rFont val="Times New Roman"/>
        <family val="1"/>
      </rPr>
      <t>отч.,i</t>
    </r>
  </si>
  <si>
    <r>
      <t xml:space="preserve">УП </t>
    </r>
    <r>
      <rPr>
        <vertAlign val="subscript"/>
        <sz val="12"/>
        <rFont val="Times New Roman"/>
        <family val="1"/>
      </rPr>
      <t>тек.,ij</t>
    </r>
  </si>
  <si>
    <t>Прогноз поступлений по виду дохода в бюджеты всех поселений данного муниципального образования на очередной и плановый период</t>
  </si>
  <si>
    <t>Поступления по соответствующему виду дохода в контингенте i-го поселения за предшествующий отчетному финансовый год</t>
  </si>
  <si>
    <t>Начисления по соответствующему виду дохода в контингенте i-го поселения за предшествующий отчетному финансовый год</t>
  </si>
  <si>
    <t>Начисления за 1-е полугодие текущего финансового года в контингенте i-го поселения по соответствующему виду доходов на одного жителя i-го поселения</t>
  </si>
  <si>
    <t>Районный коэффициент и процентная надбавка к заработной плате за стаж работы в районах Крайнего Севера и приравненных к ним местностях работников бюджетной сферы поселения</t>
  </si>
  <si>
    <t>Предельная стоимость предоставляемых жилищно-коммунальных услуг в расчете на 1 кв. метр общей площади жилья в месяц в поселении, установленная нормативными правовыми актами Иркутской области</t>
  </si>
  <si>
    <t xml:space="preserve">Федеральный стандарт предельной стоимости предоставляемых жилищно-коммунальных услуг в расчете на 1 кв. метр общей площади жилья в месяц, установленный для Иркутской области Правительством Российской Федерации </t>
  </si>
  <si>
    <t>Численность населения поселения, проживающего в населенных пунктах с численностью населения не более 500 человек</t>
  </si>
  <si>
    <t>Численность населения, проживающего в поселении, расположенном на территории, отнесенной к районам Крайнего Севера и приравненным к ним местностям с ограниченными сроками завоза грузов (продукции)</t>
  </si>
  <si>
    <r>
      <t>Д</t>
    </r>
    <r>
      <rPr>
        <b/>
        <vertAlign val="superscript"/>
        <sz val="10"/>
        <rFont val="Times New Roman"/>
        <family val="1"/>
      </rPr>
      <t xml:space="preserve">min </t>
    </r>
    <r>
      <rPr>
        <b/>
        <sz val="10"/>
        <rFont val="Times New Roman"/>
        <family val="1"/>
      </rPr>
      <t>= 0,05*(НД+ННД+ДВБОМР)-НД</t>
    </r>
    <r>
      <rPr>
        <b/>
        <vertAlign val="superscript"/>
        <sz val="10"/>
        <rFont val="Times New Roman"/>
        <family val="1"/>
      </rPr>
      <t>ЕН</t>
    </r>
  </si>
  <si>
    <r>
      <t>(ПП/</t>
    </r>
    <r>
      <rPr>
        <sz val="11"/>
        <rFont val="Calibri"/>
        <family val="2"/>
      </rPr>
      <t>∑</t>
    </r>
    <r>
      <rPr>
        <sz val="11"/>
        <rFont val="Times New Roman"/>
        <family val="1"/>
      </rPr>
      <t xml:space="preserve"> (РНij)) х (БО-БОi) х ИБРi х РНij - ДВБОПi</t>
    </r>
  </si>
  <si>
    <t>РПi (НДФЛ)</t>
  </si>
  <si>
    <t>РПi (ЕС/хН)</t>
  </si>
  <si>
    <t>РПi (ЗН)</t>
  </si>
  <si>
    <t>РПi (ННИФЛ)</t>
  </si>
  <si>
    <t xml:space="preserve">(УП тек.,ij / УП тек.,j х ППj / Н) </t>
  </si>
  <si>
    <t>40/итог40 х итог28/75</t>
  </si>
  <si>
    <t>34/итог34 х итог29/75</t>
  </si>
  <si>
    <t>36/итог36 х итог30/75</t>
  </si>
  <si>
    <t>38/итог38 х итог31/75</t>
  </si>
  <si>
    <t>А</t>
  </si>
  <si>
    <t>Б</t>
  </si>
  <si>
    <t>В</t>
  </si>
  <si>
    <t>Г</t>
  </si>
  <si>
    <t>А+Б+В+Г</t>
  </si>
  <si>
    <r>
      <t>(РКi + 0,25 х НССij / РНij) / (РК + 0,25 х ∑ (НССij) / ∑ (РНij)) х (К</t>
    </r>
    <r>
      <rPr>
        <vertAlign val="superscript"/>
        <sz val="12"/>
        <rFont val="Times New Roman"/>
        <family val="1"/>
      </rPr>
      <t>отд</t>
    </r>
    <r>
      <rPr>
        <sz val="12"/>
        <rFont val="Times New Roman"/>
        <family val="1"/>
      </rPr>
      <t>i/ К</t>
    </r>
    <r>
      <rPr>
        <vertAlign val="superscript"/>
        <sz val="12"/>
        <rFont val="Times New Roman"/>
        <family val="1"/>
      </rPr>
      <t>отд</t>
    </r>
    <r>
      <rPr>
        <sz val="12"/>
        <rFont val="Times New Roman"/>
        <family val="1"/>
      </rPr>
      <t>)</t>
    </r>
  </si>
  <si>
    <r>
      <t>(1+К</t>
    </r>
    <r>
      <rPr>
        <vertAlign val="superscript"/>
        <sz val="11"/>
        <rFont val="Times New Roman"/>
        <family val="1"/>
      </rPr>
      <t>тр</t>
    </r>
    <r>
      <rPr>
        <sz val="11"/>
        <rFont val="Times New Roman"/>
        <family val="1"/>
      </rPr>
      <t xml:space="preserve"> х Н</t>
    </r>
    <r>
      <rPr>
        <vertAlign val="superscript"/>
        <sz val="11"/>
        <rFont val="Times New Roman"/>
        <family val="1"/>
      </rPr>
      <t>тр</t>
    </r>
    <r>
      <rPr>
        <sz val="11"/>
        <rFont val="Times New Roman"/>
        <family val="1"/>
      </rPr>
      <t>i/Нi) / (1 + К</t>
    </r>
    <r>
      <rPr>
        <vertAlign val="superscript"/>
        <sz val="11"/>
        <rFont val="Times New Roman"/>
        <family val="1"/>
      </rPr>
      <t>тр</t>
    </r>
    <r>
      <rPr>
        <sz val="11"/>
        <rFont val="Times New Roman"/>
        <family val="1"/>
      </rPr>
      <t xml:space="preserve"> х ∑ (Н</t>
    </r>
    <r>
      <rPr>
        <vertAlign val="superscript"/>
        <sz val="11"/>
        <rFont val="Times New Roman"/>
        <family val="1"/>
      </rPr>
      <t>тр</t>
    </r>
    <r>
      <rPr>
        <sz val="11"/>
        <rFont val="Times New Roman"/>
        <family val="1"/>
      </rPr>
      <t>i) / ∑ (Нi))</t>
    </r>
  </si>
  <si>
    <t>0,2 х ∑PНij/N/PHij +0,80</t>
  </si>
  <si>
    <t>0,2 х итог6/12/6+0,80</t>
  </si>
  <si>
    <t>Коэффициент расселения i-го поселения</t>
  </si>
  <si>
    <r>
      <t>(Н</t>
    </r>
    <r>
      <rPr>
        <vertAlign val="superscript"/>
        <sz val="11"/>
        <rFont val="Times New Roman"/>
        <family val="1"/>
      </rPr>
      <t>500</t>
    </r>
    <r>
      <rPr>
        <sz val="11"/>
        <rFont val="Times New Roman"/>
        <family val="1"/>
      </rPr>
      <t>i /Нi) / (∑ Н</t>
    </r>
    <r>
      <rPr>
        <vertAlign val="superscript"/>
        <sz val="11"/>
        <rFont val="Times New Roman"/>
        <family val="1"/>
      </rPr>
      <t>500</t>
    </r>
    <r>
      <rPr>
        <sz val="11"/>
        <rFont val="Times New Roman"/>
        <family val="1"/>
      </rPr>
      <t>i / ∑ Нi)</t>
    </r>
  </si>
  <si>
    <r>
      <t>К</t>
    </r>
    <r>
      <rPr>
        <b/>
        <vertAlign val="superscript"/>
        <sz val="12"/>
        <rFont val="Times New Roman"/>
        <family val="1"/>
      </rPr>
      <t>рас</t>
    </r>
    <r>
      <rPr>
        <b/>
        <sz val="12"/>
        <rFont val="Times New Roman"/>
        <family val="1"/>
      </rPr>
      <t>i</t>
    </r>
  </si>
  <si>
    <t>72+73</t>
  </si>
  <si>
    <t>(7/итог6) х (2-3) х 4 х 6 - 5</t>
  </si>
  <si>
    <t>(62+0,25 х 71/6) /(63+0,25 х (итог71/итог6) х (64/65))</t>
  </si>
  <si>
    <t>50*51*итог 6/итог 52</t>
  </si>
  <si>
    <t xml:space="preserve"> 8/4</t>
  </si>
  <si>
    <t>72 + 71</t>
  </si>
  <si>
    <t>сумма итог28,29,30,31,32</t>
  </si>
  <si>
    <t>9/10+(11-9)/10*0,25*12</t>
  </si>
  <si>
    <t>7/итог6</t>
  </si>
  <si>
    <t>44*45</t>
  </si>
  <si>
    <t>(18*0,4+19*0,6)/6</t>
  </si>
  <si>
    <t>(20*0,4+24*0,6)/6</t>
  </si>
  <si>
    <t>(21*0,4+25*0,6)/6</t>
  </si>
  <si>
    <t>(22*0,4+26*0,6)/6</t>
  </si>
  <si>
    <t>(23*0,4+27*0,6)/6</t>
  </si>
  <si>
    <t>59*67+60*68+61*69</t>
  </si>
  <si>
    <t>56*53+57*54+58*55</t>
  </si>
  <si>
    <t>50*51*6</t>
  </si>
  <si>
    <t>(46+48)/(47+49)</t>
  </si>
  <si>
    <t>(1+НГij /PHij) / (1+∑НГij /∑PHij )</t>
  </si>
  <si>
    <t>(1+72/6)/(1+итог72/итог6)</t>
  </si>
  <si>
    <t>Численность постоянного сельского населения i-го поселения j-го муниципального района, по данным стат. сборника Иркутскстата "Численность населения сельских населенных пунктов Иркутской области"</t>
  </si>
  <si>
    <t>Скорректированая численность постоянного сельского населения i- го поселения, входящего в состав j-го муниципального района</t>
  </si>
  <si>
    <t xml:space="preserve">Численность постоянного городского населения i-го поселения j-го муниципального района, по данным статистического бюллетеня Иркутскстата "Численность населения по городам и районам"  </t>
  </si>
  <si>
    <t>Численность постоянного населения межселенных территорий муниципального района по стат. сборнику "Численность населения сельских населенных пунктов Иркутской области"</t>
  </si>
  <si>
    <t>Численность постоянного населения i-го поселения, входящего в состав j-го муниципального района</t>
  </si>
  <si>
    <t>Нij</t>
  </si>
  <si>
    <t>∑(13/итог13*итог28/итог6)</t>
  </si>
  <si>
    <t>(1+66*70/33)/(1+66*итог70/итог33)</t>
  </si>
  <si>
    <t>(80/33) / (итог80/итог33)</t>
  </si>
  <si>
    <t>начисление всего</t>
  </si>
  <si>
    <t>39/73</t>
  </si>
  <si>
    <t>35/73</t>
  </si>
  <si>
    <t>37/73</t>
  </si>
  <si>
    <t>41/73</t>
  </si>
  <si>
    <t>Объем налоговых доходов (за исключением налоговых доходов по дополнительным нормативам отчислений) бюджета муниц. района, утвержденный решением представительного органа мун.района на очередной фин.год</t>
  </si>
  <si>
    <t>Объем неналоговых доходов бюджета муниц. района, утвержденные решением представительного органа мун.района на очередной фин.год</t>
  </si>
  <si>
    <t>Размер дотации на выравнивание бюджетной обеспеченности муниц. района (а также объем налоговых доходов по дополнительным нормативам отчислений) бюджету муниц. района, утвержденный законом об областном бюджете на очередной фин.год</t>
  </si>
  <si>
    <t>расчетная сумма налоговых доходов по всем поселениям муниципального района на очередной фин.год и плановый период (расчитывается муниципальным районом)</t>
  </si>
  <si>
    <t>уровень бюджетной обеспеченности i-го поселения</t>
  </si>
  <si>
    <t>Поправочный коэффициент, используемый для определения ИНП</t>
  </si>
  <si>
    <t>∑ (РКi х РНij) / ∑ (РНij)</t>
  </si>
  <si>
    <t>ТАБЛИЦА 1</t>
  </si>
  <si>
    <t>ТАБЛИЦА 2</t>
  </si>
  <si>
    <t>Расчеты произведены согласно Приложению 5 к Закону Иркутской области "О внесении изменений в закон Иркутской области от 23.07.2008 г. № 56-оз "О межбюджетных трансфертах и нормативах отчислений доходов в местные бюджеты""</t>
  </si>
  <si>
    <r>
      <rPr>
        <b/>
        <sz val="11"/>
        <color indexed="10"/>
        <rFont val="Times New Roman"/>
        <family val="1"/>
      </rPr>
      <t>Индекс налогового потенциала (ИНП)</t>
    </r>
    <r>
      <rPr>
        <sz val="11"/>
        <rFont val="Times New Roman"/>
        <family val="1"/>
      </rPr>
      <t xml:space="preserve"> - показатель, характеризующий относительную количественную возможность экономики поселения (по сравнению со средним по муниципальному району уровнем) генерировать налоговые доходы местного бюджета</t>
    </r>
  </si>
  <si>
    <r>
      <rPr>
        <b/>
        <sz val="11"/>
        <color indexed="10"/>
        <rFont val="Times New Roman"/>
        <family val="1"/>
      </rPr>
      <t>Индекс расходов бюджета (ИБР)</t>
    </r>
    <r>
      <rPr>
        <sz val="11"/>
        <rFont val="Times New Roman"/>
        <family val="1"/>
      </rPr>
      <t xml:space="preserve"> - относительный показатель, отражающий, на сколько больше (меньше) бюджетных средств на душу населения, по сравнению со средним по всем поселениям данного муниципального района уровнем, необходимо затратить для осуществления полномочий по решению вопросов местного значения поселения с учетом специфики социально-демографического состава населения и иных объективных факторов, влияющих на стоимость предосталяемых бюджетных услуг в расчете на одного жителя</t>
    </r>
  </si>
  <si>
    <r>
      <rPr>
        <b/>
        <sz val="11"/>
        <color indexed="10"/>
        <rFont val="Times New Roman"/>
        <family val="1"/>
      </rPr>
      <t>Рассчитанные оценки индекса расходов бюджета поселений</t>
    </r>
    <r>
      <rPr>
        <sz val="11"/>
        <rFont val="Times New Roman"/>
        <family val="1"/>
      </rPr>
      <t xml:space="preserve"> не являются планируемыми или рекомендуемыми показателями, определяющими расходы бюджетов поселений, и используются только для расчета бюджетной обеспеченности поселений в целях распределения межбюджетных трансфертов</t>
    </r>
  </si>
  <si>
    <r>
      <rPr>
        <b/>
        <sz val="11"/>
        <color indexed="10"/>
        <rFont val="Times New Roman"/>
        <family val="1"/>
      </rPr>
      <t>Уровень бюджетной обеспеченности (БО)</t>
    </r>
    <r>
      <rPr>
        <sz val="11"/>
        <rFont val="Times New Roman"/>
        <family val="1"/>
      </rPr>
      <t xml:space="preserve"> - показатель, отражающий, во сколько раз налоговые доходы, которые могут быть получены бюджетом поселения исходя из налоговой базы (налогового потенциала), в расчете на одного жителя, больше (меньше) соответствующего среднего по всем поселениям данного муниципального района с учетом различий в структуре населения, социально-экономических, климатических, географических и иных объективных факторах и условиях, влияющих на стоимость предоставления муниципальных услуг в расчете на одного жителя</t>
    </r>
  </si>
  <si>
    <t>(рублей)</t>
  </si>
  <si>
    <t>изменения</t>
  </si>
  <si>
    <r>
      <t xml:space="preserve">Поступление налога за предшествующий отчетному финансовый год (руб.)                             </t>
    </r>
    <r>
      <rPr>
        <b/>
        <sz val="10"/>
        <rFont val="Times New Roman"/>
        <family val="1"/>
      </rPr>
      <t xml:space="preserve">(К </t>
    </r>
    <r>
      <rPr>
        <b/>
        <i/>
        <sz val="10"/>
        <rFont val="Times New Roman"/>
        <family val="1"/>
      </rPr>
      <t>пред.отч.,i)</t>
    </r>
  </si>
  <si>
    <t>(факт за 2009г.) Фин.управление - отчет</t>
  </si>
  <si>
    <t xml:space="preserve">(начисление налога за 2009г.) УФНС </t>
  </si>
  <si>
    <t>2012 г.</t>
  </si>
  <si>
    <t>(факт за 2010г.) Фин.управление - отчет</t>
  </si>
  <si>
    <r>
      <t xml:space="preserve">Поступление налога за отчетный финансовый год (2010 год) (руб.)                    </t>
    </r>
    <r>
      <rPr>
        <b/>
        <sz val="10"/>
        <rFont val="Times New Roman"/>
        <family val="1"/>
      </rPr>
      <t xml:space="preserve">(К </t>
    </r>
    <r>
      <rPr>
        <b/>
        <i/>
        <sz val="10"/>
        <rFont val="Times New Roman"/>
        <family val="1"/>
      </rPr>
      <t>отч.,i</t>
    </r>
    <r>
      <rPr>
        <b/>
        <sz val="10"/>
        <rFont val="Times New Roman"/>
        <family val="1"/>
      </rPr>
      <t>)</t>
    </r>
  </si>
  <si>
    <r>
      <t xml:space="preserve">Начисления по соответствующему виду доходов в контингенте i-го поселения за предшествующий отчетному финансовый год (за 2009 год) (руб.)                                            </t>
    </r>
    <r>
      <rPr>
        <b/>
        <sz val="10"/>
        <rFont val="Times New Roman"/>
        <family val="1"/>
      </rPr>
      <t xml:space="preserve">(Е </t>
    </r>
    <r>
      <rPr>
        <b/>
        <i/>
        <sz val="10"/>
        <rFont val="Times New Roman"/>
        <family val="1"/>
      </rPr>
      <t>пред.отч.</t>
    </r>
    <r>
      <rPr>
        <b/>
        <sz val="10"/>
        <rFont val="Times New Roman"/>
        <family val="1"/>
      </rPr>
      <t>,i)</t>
    </r>
  </si>
  <si>
    <r>
      <t xml:space="preserve">Начисления по соответствующему виду доходов в контингенте i-го поселения за отчетный финансовый году (за 2010 год) (руб.)                                                                         </t>
    </r>
    <r>
      <rPr>
        <b/>
        <sz val="10"/>
        <rFont val="Times New Roman"/>
        <family val="1"/>
      </rPr>
      <t xml:space="preserve">(Е </t>
    </r>
    <r>
      <rPr>
        <b/>
        <i/>
        <sz val="10"/>
        <rFont val="Times New Roman"/>
        <family val="1"/>
      </rPr>
      <t>отч</t>
    </r>
    <r>
      <rPr>
        <b/>
        <sz val="10"/>
        <rFont val="Times New Roman"/>
        <family val="1"/>
      </rPr>
      <t>.,i)</t>
    </r>
  </si>
  <si>
    <t xml:space="preserve">(начисление налога за 2010г.) УФНС </t>
  </si>
  <si>
    <t>закон Иркутской области</t>
  </si>
  <si>
    <t>налог на доходы физических лиц</t>
  </si>
  <si>
    <t xml:space="preserve"> единый сельскохозяйственный налог</t>
  </si>
  <si>
    <t>налог на имущество физических лиц</t>
  </si>
  <si>
    <t>сумма</t>
  </si>
  <si>
    <t>данные ИФНС</t>
  </si>
  <si>
    <t>отчетность фин.органа ф. 317</t>
  </si>
  <si>
    <t>Котдi</t>
  </si>
  <si>
    <t>составляет: для поселений, имеющих выход на железнодорожную магистраль - 1,1; для поселений, не имеющих выхода на железнодорожную магистраль - 1,6; для остальных поселений - 1</t>
  </si>
  <si>
    <t>Коэффициент отдаленности для поселений, расположенных на территориях, отнесенных к районам Крайнего Севера и приравненным к ним местностям</t>
  </si>
  <si>
    <t>Rжкуi</t>
  </si>
  <si>
    <t>Rжку</t>
  </si>
  <si>
    <t>Rкапi</t>
  </si>
  <si>
    <t>Rкап</t>
  </si>
  <si>
    <t>закон Иркутской области 56-оз (методика)</t>
  </si>
  <si>
    <t>Ктр</t>
  </si>
  <si>
    <t>НТтрi</t>
  </si>
  <si>
    <r>
      <t xml:space="preserve">Прогноз поступлений по j-му виду дохода в бюджеты всех поселений на очередной финансовый год и плановый период (2011-2013 г.) (рассчитывается муниципальным районом) (руб.) </t>
    </r>
    <r>
      <rPr>
        <b/>
        <sz val="10"/>
        <rFont val="Times New Roman"/>
        <family val="1"/>
      </rPr>
      <t>(ПП j)</t>
    </r>
  </si>
  <si>
    <t>(прогноз на 2011 г.) данные фин.органа</t>
  </si>
  <si>
    <t>(поступление) государственная пошлина, подлежащая зачислению в бюджеты поселений</t>
  </si>
  <si>
    <t xml:space="preserve">(начисление за 1 полугодие 2011г.) УФНС </t>
  </si>
  <si>
    <t>(поступление за 1 полугодие 2011г.) отчет ФУ</t>
  </si>
  <si>
    <t>РФФПП (руб.)</t>
  </si>
  <si>
    <t>расчет таб 3</t>
  </si>
  <si>
    <t>2013-2015 гг.</t>
  </si>
  <si>
    <t>2011 г.</t>
  </si>
  <si>
    <t>Постановление Правительства Иркутской области «Об отдельных показателях, используемых при определении размера дотации на выравнивание бюджетной обеспеченности поселений и муниципальных районов (городских округов), предоставляемой из областного бюджета в 2013-2015 годах» № 440-пп от 30.08.2012 г.</t>
  </si>
  <si>
    <t>РАСЧЕТ И РАСПРЕДЕЛЕНИЕ ДОТАЦИИ ИЗ РАЙОННОГО ФОНДА ФИНАНСОВОЙ ПОДДЕРЖКИ ПОСЕЛЕНИЙ НА 2013 ГОД</t>
  </si>
  <si>
    <t>Размер дотации</t>
  </si>
  <si>
    <r>
      <t>БО</t>
    </r>
    <r>
      <rPr>
        <vertAlign val="superscript"/>
        <sz val="11"/>
        <rFont val="Times New Roman"/>
        <family val="1"/>
      </rPr>
      <t>max</t>
    </r>
  </si>
  <si>
    <r>
      <t>БО</t>
    </r>
    <r>
      <rPr>
        <vertAlign val="superscript"/>
        <sz val="11"/>
        <rFont val="Times New Roman"/>
        <family val="1"/>
      </rPr>
      <t>+1</t>
    </r>
    <r>
      <rPr>
        <vertAlign val="subscript"/>
        <sz val="11"/>
        <rFont val="Times New Roman"/>
        <family val="1"/>
      </rPr>
      <t>i</t>
    </r>
  </si>
  <si>
    <t xml:space="preserve"> 01.01.2013 г.</t>
  </si>
  <si>
    <t>2014 г.</t>
  </si>
  <si>
    <t>Начисления по соответствующему виду дохода в контингенте i-го поселения за отчетный финансовый год</t>
  </si>
  <si>
    <t>1 полугодие 2013 г.</t>
  </si>
  <si>
    <t>Поступления по соответствующему виду дохода в контингенте i-го поселения за отчетный финансовый год</t>
  </si>
  <si>
    <t>Поступления по соответствующему виду дохода в контингенте i-го поселения за 1-е полугодие текущего финансового года</t>
  </si>
  <si>
    <t>Закон Иркутской области от 17.12.2008 № 123-оз; Приказ Министерства Труда РФ от 22.11.1990 № 2 (1,3+0,3) = 1,6</t>
  </si>
  <si>
    <t>Поправочный учитывающий экономические особенности поселений</t>
  </si>
  <si>
    <t>Размер районного фонда</t>
  </si>
  <si>
    <t>период</t>
  </si>
  <si>
    <t>2015 г.</t>
  </si>
  <si>
    <t>Размер субсидии, предоставляемой бюджету муниципального района из областного бюджета, в целях реализации мероприятий муниципальных программ повышения эффективности бюджетных расходов</t>
  </si>
  <si>
    <t>СППЭБР</t>
  </si>
  <si>
    <t>расчет фин.органа/3 года</t>
  </si>
  <si>
    <t>Индекс налогового потенциала i-го поселения</t>
  </si>
  <si>
    <t>ПП/Н, где ПП = ∑ ППj</t>
  </si>
  <si>
    <t>Показатель среднедушевых поступлений в контингенте i-го поселения по j-му виду дохода</t>
  </si>
  <si>
    <t>Показатель среднедушевых налоговых доходов i-го поселений по j-му виду дохода</t>
  </si>
  <si>
    <t>НПij</t>
  </si>
  <si>
    <t>единый сельскохозяйственный налог</t>
  </si>
  <si>
    <t>государственная пошлина</t>
  </si>
  <si>
    <r>
      <t>∑</t>
    </r>
    <r>
      <rPr>
        <vertAlign val="superscript"/>
        <sz val="10"/>
        <rFont val="Times New Roman"/>
        <family val="1"/>
      </rPr>
      <t>5</t>
    </r>
    <r>
      <rPr>
        <sz val="10"/>
        <rFont val="Times New Roman"/>
        <family val="1"/>
      </rPr>
      <t xml:space="preserve"> </t>
    </r>
    <r>
      <rPr>
        <vertAlign val="subscript"/>
        <sz val="10"/>
        <rFont val="Times New Roman"/>
        <family val="1"/>
      </rPr>
      <t>j=1</t>
    </r>
    <r>
      <rPr>
        <sz val="10"/>
        <rFont val="Times New Roman"/>
        <family val="1"/>
      </rPr>
      <t>(УПij/УПj х ППj/Н) где НПi = ∑НПij, при этом если УПj&lt;0, то НПij= -(УПij/УПj х ППj/Н)</t>
    </r>
  </si>
  <si>
    <r>
      <t>налог на доходы физических лиц (УП</t>
    </r>
    <r>
      <rPr>
        <vertAlign val="subscript"/>
        <sz val="10"/>
        <rFont val="Times New Roman"/>
        <family val="1"/>
      </rPr>
      <t>i,1</t>
    </r>
    <r>
      <rPr>
        <sz val="10"/>
        <rFont val="Times New Roman"/>
        <family val="1"/>
      </rPr>
      <t>)</t>
    </r>
  </si>
  <si>
    <r>
      <t>единый сельскохозяйственный налог (УП</t>
    </r>
    <r>
      <rPr>
        <vertAlign val="subscript"/>
        <sz val="10"/>
        <rFont val="Times New Roman"/>
        <family val="1"/>
      </rPr>
      <t>i,2</t>
    </r>
    <r>
      <rPr>
        <sz val="10"/>
        <rFont val="Times New Roman"/>
        <family val="1"/>
      </rPr>
      <t>)</t>
    </r>
  </si>
  <si>
    <r>
      <t>налог на имущество (УП</t>
    </r>
    <r>
      <rPr>
        <vertAlign val="subscript"/>
        <sz val="10"/>
        <rFont val="Times New Roman"/>
        <family val="1"/>
      </rPr>
      <t>i,3</t>
    </r>
    <r>
      <rPr>
        <sz val="10"/>
        <rFont val="Times New Roman"/>
        <family val="1"/>
      </rPr>
      <t>)</t>
    </r>
  </si>
  <si>
    <r>
      <t>земельный налог (УП</t>
    </r>
    <r>
      <rPr>
        <vertAlign val="subscript"/>
        <sz val="10"/>
        <rFont val="Times New Roman"/>
        <family val="1"/>
      </rPr>
      <t>i,4</t>
    </r>
    <r>
      <rPr>
        <sz val="10"/>
        <rFont val="Times New Roman"/>
        <family val="1"/>
      </rPr>
      <t>)</t>
    </r>
  </si>
  <si>
    <r>
      <t>государственная пошлина (УП</t>
    </r>
    <r>
      <rPr>
        <vertAlign val="subscript"/>
        <sz val="10"/>
        <rFont val="Times New Roman"/>
        <family val="1"/>
      </rPr>
      <t>i,5</t>
    </r>
    <r>
      <rPr>
        <sz val="10"/>
        <rFont val="Times New Roman"/>
        <family val="1"/>
      </rPr>
      <t>)</t>
    </r>
  </si>
  <si>
    <t>Расчетная сумма налоговых доходов по всем поселениям муниципального района на очередной финансовый год и плановый период</t>
  </si>
  <si>
    <t>(рассчитывается муниципальным районом)</t>
  </si>
  <si>
    <r>
      <t>(0,40 х К</t>
    </r>
    <r>
      <rPr>
        <vertAlign val="subscript"/>
        <sz val="10"/>
        <rFont val="Times New Roman"/>
        <family val="1"/>
      </rPr>
      <t>пред.отч.i</t>
    </r>
    <r>
      <rPr>
        <sz val="10"/>
        <rFont val="Times New Roman"/>
        <family val="1"/>
      </rPr>
      <t xml:space="preserve"> + 0,60 х К</t>
    </r>
    <r>
      <rPr>
        <vertAlign val="subscript"/>
        <sz val="10"/>
        <rFont val="Times New Roman"/>
        <family val="1"/>
      </rPr>
      <t>отч.i</t>
    </r>
    <r>
      <rPr>
        <sz val="10"/>
        <rFont val="Times New Roman"/>
        <family val="1"/>
      </rPr>
      <t>)/РНij</t>
    </r>
  </si>
  <si>
    <t>∑5 j=1(УПтек.ij/УПтекj х ППj/Н), где РПi = ∑РПij, при этом если УПj&lt;0, то РПij= -(УПij/УПj х ППj/Н)</t>
  </si>
  <si>
    <t>ППj (ПП =∑ППj)</t>
  </si>
  <si>
    <t>Расчетная численность постоянного населения i-го поселения, входящего в состав муниципального района</t>
  </si>
  <si>
    <r>
      <t>(0,40 х Е</t>
    </r>
    <r>
      <rPr>
        <vertAlign val="subscript"/>
        <sz val="10"/>
        <rFont val="Times New Roman"/>
        <family val="1"/>
      </rPr>
      <t>пред.отч.i</t>
    </r>
    <r>
      <rPr>
        <sz val="10"/>
        <rFont val="Times New Roman"/>
        <family val="1"/>
      </rPr>
      <t xml:space="preserve"> + 0,60 х Е</t>
    </r>
    <r>
      <rPr>
        <vertAlign val="subscript"/>
        <sz val="10"/>
        <rFont val="Times New Roman"/>
        <family val="1"/>
      </rPr>
      <t>отч.i</t>
    </r>
    <r>
      <rPr>
        <sz val="10"/>
        <rFont val="Times New Roman"/>
        <family val="1"/>
      </rPr>
      <t>)/РНij</t>
    </r>
  </si>
  <si>
    <t>РНij</t>
  </si>
  <si>
    <t>Численность постоянного населения всех поселений муниципального района</t>
  </si>
  <si>
    <t>∑РНij</t>
  </si>
  <si>
    <t xml:space="preserve">(УПij/УПj х ППj/Н) </t>
  </si>
  <si>
    <t xml:space="preserve">19/итог19 х итог 9/24 </t>
  </si>
  <si>
    <t>20/итог20 х итог10/24</t>
  </si>
  <si>
    <t>21/итог21*итог11/24</t>
  </si>
  <si>
    <t>22/итог22*итог12/24</t>
  </si>
  <si>
    <t>23/итог23*13/24</t>
  </si>
  <si>
    <t>УПij (УПi,УПj)</t>
  </si>
  <si>
    <t>(ДАННЫЕ)</t>
  </si>
  <si>
    <t>(14+15+16+17+18)</t>
  </si>
  <si>
    <t>(итог9+итог10+итог11+итог12+итог13)/24</t>
  </si>
  <si>
    <t>НПi/НП +0,25 х (РПi - НПi)/НП х Кi</t>
  </si>
  <si>
    <t>6.1</t>
  </si>
  <si>
    <t>Начисления за 1-е полугодие текущего финансового года в контингенте i-го поселения по соответсвующему j-му виду доходов на одного жителя</t>
  </si>
  <si>
    <t>6/1</t>
  </si>
  <si>
    <t>9/1</t>
  </si>
  <si>
    <t>9.1</t>
  </si>
  <si>
    <t>данные 9.1/данные итог 9.1 х итог 9/24</t>
  </si>
  <si>
    <t>данные 9.1/данные итог 9.1 х итог 13/24</t>
  </si>
  <si>
    <t>данные 6.1/данные итог 6.1 х итог 10/24</t>
  </si>
  <si>
    <t>данные 6.1/данные итог 6.1 х итог 11/24</t>
  </si>
  <si>
    <t>данные 6.1/данные итог 6.1 х итог 12/24</t>
  </si>
  <si>
    <t>РПi = ∑РПij</t>
  </si>
  <si>
    <t>8.1</t>
  </si>
  <si>
    <t>(4+5+6+7+8)</t>
  </si>
  <si>
    <t>Поправочный коэффициент, отражающий различия в уровне социально-экономического развития сельских поселений</t>
  </si>
  <si>
    <t>определен методикой</t>
  </si>
  <si>
    <r>
      <t>К</t>
    </r>
    <r>
      <rPr>
        <vertAlign val="subscript"/>
        <sz val="10"/>
        <rFont val="Times New Roman"/>
        <family val="1"/>
      </rPr>
      <t>i,1</t>
    </r>
  </si>
  <si>
    <r>
      <t>К</t>
    </r>
    <r>
      <rPr>
        <vertAlign val="subscript"/>
        <sz val="10"/>
        <rFont val="Times New Roman"/>
        <family val="1"/>
      </rPr>
      <t>i</t>
    </r>
  </si>
  <si>
    <t>Кi1 х Кi2</t>
  </si>
  <si>
    <t>Поправочный коэффициент 1</t>
  </si>
  <si>
    <r>
      <t>К</t>
    </r>
    <r>
      <rPr>
        <vertAlign val="subscript"/>
        <sz val="10"/>
        <rFont val="Times New Roman"/>
        <family val="1"/>
      </rPr>
      <t>i,2</t>
    </r>
  </si>
  <si>
    <t>Поправочный коэффициент, учитывающий экономические особенности поселений, расчитывается по одному или нескольким показателям</t>
  </si>
  <si>
    <t>Мi/М</t>
  </si>
  <si>
    <t>Фонд начисленной заработной платы по полному кругу организаций в контенгенте i-го поселения (тыс. рублей)</t>
  </si>
  <si>
    <t>в расчете на одного жителя</t>
  </si>
  <si>
    <t>30/итог 30</t>
  </si>
  <si>
    <t>29/численность</t>
  </si>
  <si>
    <t>Мi</t>
  </si>
  <si>
    <t>прогноз социально-экономического развития i поселения на 2014 год</t>
  </si>
  <si>
    <t>27 х 28</t>
  </si>
  <si>
    <t>(2/3+0,25 х (8.1-2)/3 х 26</t>
  </si>
  <si>
    <t>РПij</t>
  </si>
  <si>
    <t>решение об использовании принимается органами местного самоуправления муниципального района</t>
  </si>
  <si>
    <t>Индекс расходов бюджета i-го поселения</t>
  </si>
  <si>
    <r>
      <t>(К</t>
    </r>
    <r>
      <rPr>
        <vertAlign val="subscript"/>
        <sz val="11"/>
        <rFont val="Times New Roman"/>
        <family val="1"/>
      </rPr>
      <t>i</t>
    </r>
    <r>
      <rPr>
        <vertAlign val="superscript"/>
        <sz val="11"/>
        <rFont val="Times New Roman"/>
        <family val="1"/>
      </rPr>
      <t>СТОИМ</t>
    </r>
    <r>
      <rPr>
        <sz val="11"/>
        <rFont val="Times New Roman"/>
        <family val="1"/>
      </rPr>
      <t xml:space="preserve"> х К</t>
    </r>
    <r>
      <rPr>
        <vertAlign val="subscript"/>
        <sz val="11"/>
        <rFont val="Times New Roman"/>
        <family val="1"/>
      </rPr>
      <t>i</t>
    </r>
    <r>
      <rPr>
        <vertAlign val="superscript"/>
        <sz val="11"/>
        <rFont val="Times New Roman"/>
        <family val="1"/>
      </rPr>
      <t>СТР</t>
    </r>
    <r>
      <rPr>
        <sz val="11"/>
        <rFont val="Times New Roman"/>
        <family val="1"/>
      </rPr>
      <t xml:space="preserve"> х ∑РНij)/∑(К</t>
    </r>
    <r>
      <rPr>
        <vertAlign val="subscript"/>
        <sz val="11"/>
        <rFont val="Times New Roman"/>
        <family val="1"/>
      </rPr>
      <t>i</t>
    </r>
    <r>
      <rPr>
        <vertAlign val="superscript"/>
        <sz val="11"/>
        <rFont val="Times New Roman"/>
        <family val="1"/>
      </rPr>
      <t>СТОИМ</t>
    </r>
    <r>
      <rPr>
        <sz val="11"/>
        <rFont val="Times New Roman"/>
        <family val="1"/>
      </rPr>
      <t xml:space="preserve"> х К</t>
    </r>
    <r>
      <rPr>
        <vertAlign val="subscript"/>
        <sz val="11"/>
        <rFont val="Times New Roman"/>
        <family val="1"/>
      </rPr>
      <t>i</t>
    </r>
    <r>
      <rPr>
        <vertAlign val="superscript"/>
        <sz val="11"/>
        <rFont val="Times New Roman"/>
        <family val="1"/>
      </rPr>
      <t>СТР</t>
    </r>
    <r>
      <rPr>
        <sz val="11"/>
        <rFont val="Times New Roman"/>
        <family val="1"/>
      </rPr>
      <t xml:space="preserve"> х РНij)</t>
    </r>
  </si>
  <si>
    <t>Коэффициент стоимости предоставления бюджетных услуг i-го поселения</t>
  </si>
  <si>
    <r>
      <t>К</t>
    </r>
    <r>
      <rPr>
        <vertAlign val="subscript"/>
        <sz val="11"/>
        <rFont val="Times New Roman"/>
        <family val="1"/>
      </rPr>
      <t>i</t>
    </r>
    <r>
      <rPr>
        <vertAlign val="superscript"/>
        <sz val="11"/>
        <rFont val="Times New Roman"/>
        <family val="1"/>
      </rPr>
      <t>СТОИМ</t>
    </r>
  </si>
  <si>
    <r>
      <t>А1 х К</t>
    </r>
    <r>
      <rPr>
        <vertAlign val="subscript"/>
        <sz val="11"/>
        <rFont val="Times New Roman"/>
        <family val="1"/>
      </rPr>
      <t>i</t>
    </r>
    <r>
      <rPr>
        <vertAlign val="superscript"/>
        <sz val="11"/>
        <rFont val="Times New Roman"/>
        <family val="1"/>
      </rPr>
      <t>ЗП</t>
    </r>
    <r>
      <rPr>
        <sz val="11"/>
        <rFont val="Times New Roman"/>
        <family val="1"/>
      </rPr>
      <t xml:space="preserve"> +А2 х К</t>
    </r>
    <r>
      <rPr>
        <vertAlign val="subscript"/>
        <sz val="11"/>
        <rFont val="Times New Roman"/>
        <family val="1"/>
      </rPr>
      <t>i</t>
    </r>
    <r>
      <rPr>
        <vertAlign val="superscript"/>
        <sz val="11"/>
        <rFont val="Times New Roman"/>
        <family val="1"/>
      </rPr>
      <t>ЦЕН</t>
    </r>
    <r>
      <rPr>
        <sz val="11"/>
        <rFont val="Times New Roman"/>
        <family val="1"/>
      </rPr>
      <t xml:space="preserve"> +А3 х К</t>
    </r>
    <r>
      <rPr>
        <vertAlign val="subscript"/>
        <sz val="11"/>
        <rFont val="Times New Roman"/>
        <family val="1"/>
      </rPr>
      <t>i</t>
    </r>
    <r>
      <rPr>
        <vertAlign val="superscript"/>
        <sz val="11"/>
        <rFont val="Times New Roman"/>
        <family val="1"/>
      </rPr>
      <t>ЖКУ</t>
    </r>
  </si>
  <si>
    <t>Коэффициент структуры потребителей бюджетных услуг i-го поселения</t>
  </si>
  <si>
    <r>
      <t>К</t>
    </r>
    <r>
      <rPr>
        <vertAlign val="subscript"/>
        <sz val="11"/>
        <rFont val="Times New Roman"/>
        <family val="1"/>
      </rPr>
      <t>i</t>
    </r>
    <r>
      <rPr>
        <vertAlign val="superscript"/>
        <sz val="11"/>
        <rFont val="Times New Roman"/>
        <family val="1"/>
      </rPr>
      <t>СТР</t>
    </r>
  </si>
  <si>
    <r>
      <t>В1 х К</t>
    </r>
    <r>
      <rPr>
        <vertAlign val="subscript"/>
        <sz val="11"/>
        <rFont val="Times New Roman"/>
        <family val="1"/>
      </rPr>
      <t>i</t>
    </r>
    <r>
      <rPr>
        <vertAlign val="superscript"/>
        <sz val="11"/>
        <rFont val="Times New Roman"/>
        <family val="1"/>
      </rPr>
      <t>М</t>
    </r>
    <r>
      <rPr>
        <sz val="11"/>
        <rFont val="Times New Roman"/>
        <family val="1"/>
      </rPr>
      <t xml:space="preserve"> +В2 х К</t>
    </r>
    <r>
      <rPr>
        <vertAlign val="subscript"/>
        <sz val="11"/>
        <rFont val="Times New Roman"/>
        <family val="1"/>
      </rPr>
      <t>i</t>
    </r>
    <r>
      <rPr>
        <vertAlign val="superscript"/>
        <sz val="11"/>
        <rFont val="Times New Roman"/>
        <family val="1"/>
      </rPr>
      <t>У</t>
    </r>
    <r>
      <rPr>
        <sz val="11"/>
        <rFont val="Times New Roman"/>
        <family val="1"/>
      </rPr>
      <t xml:space="preserve"> +В3 х К</t>
    </r>
    <r>
      <rPr>
        <vertAlign val="subscript"/>
        <sz val="11"/>
        <rFont val="Times New Roman"/>
        <family val="1"/>
      </rPr>
      <t>i</t>
    </r>
    <r>
      <rPr>
        <vertAlign val="superscript"/>
        <sz val="11"/>
        <rFont val="Times New Roman"/>
        <family val="1"/>
      </rPr>
      <t>РАС</t>
    </r>
  </si>
  <si>
    <r>
      <t>К</t>
    </r>
    <r>
      <rPr>
        <vertAlign val="subscript"/>
        <sz val="11"/>
        <rFont val="Times New Roman"/>
        <family val="1"/>
      </rPr>
      <t>i</t>
    </r>
    <r>
      <rPr>
        <vertAlign val="superscript"/>
        <sz val="11"/>
        <rFont val="Times New Roman"/>
        <family val="1"/>
      </rPr>
      <t>СТОИМ</t>
    </r>
    <r>
      <rPr>
        <sz val="11"/>
        <rFont val="Times New Roman"/>
        <family val="1"/>
      </rPr>
      <t xml:space="preserve"> х К</t>
    </r>
    <r>
      <rPr>
        <vertAlign val="subscript"/>
        <sz val="11"/>
        <rFont val="Times New Roman"/>
        <family val="1"/>
      </rPr>
      <t>i</t>
    </r>
    <r>
      <rPr>
        <vertAlign val="superscript"/>
        <sz val="11"/>
        <rFont val="Times New Roman"/>
        <family val="1"/>
      </rPr>
      <t>СТР</t>
    </r>
    <r>
      <rPr>
        <sz val="11"/>
        <rFont val="Times New Roman"/>
        <family val="1"/>
      </rPr>
      <t xml:space="preserve"> х РНij</t>
    </r>
  </si>
  <si>
    <t>Коэффициент дифференциации заработной платы i-го поселения</t>
  </si>
  <si>
    <t>Коэффициент уровня цен i-го поселения</t>
  </si>
  <si>
    <r>
      <t>К</t>
    </r>
    <r>
      <rPr>
        <vertAlign val="subscript"/>
        <sz val="11"/>
        <rFont val="Times New Roman"/>
        <family val="1"/>
      </rPr>
      <t>i</t>
    </r>
    <r>
      <rPr>
        <vertAlign val="superscript"/>
        <sz val="11"/>
        <rFont val="Times New Roman"/>
        <family val="1"/>
      </rPr>
      <t>ЦЕН</t>
    </r>
  </si>
  <si>
    <r>
      <t>К</t>
    </r>
    <r>
      <rPr>
        <vertAlign val="subscript"/>
        <sz val="11"/>
        <rFont val="Times New Roman"/>
        <family val="1"/>
      </rPr>
      <t>i</t>
    </r>
    <r>
      <rPr>
        <vertAlign val="superscript"/>
        <sz val="11"/>
        <rFont val="Times New Roman"/>
        <family val="1"/>
      </rPr>
      <t>ЖКУ</t>
    </r>
  </si>
  <si>
    <t>Коэффициент стоимости жилищно-коммунальных услуг i-поселения</t>
  </si>
  <si>
    <r>
      <t>К</t>
    </r>
    <r>
      <rPr>
        <vertAlign val="subscript"/>
        <sz val="11"/>
        <rFont val="Times New Roman"/>
        <family val="1"/>
      </rPr>
      <t>i</t>
    </r>
    <r>
      <rPr>
        <vertAlign val="superscript"/>
        <sz val="11"/>
        <rFont val="Times New Roman"/>
        <family val="1"/>
      </rPr>
      <t>ЗП</t>
    </r>
  </si>
  <si>
    <t>ОПРЕДЕЛЕНИЕ ИНДЕКСА НАЛОГОВОГО ПОТЕНЦИАЛА</t>
  </si>
  <si>
    <t>ОПРЕДЕЛЕНИЕ ИНДЕКСА БЮДЖЕТНЫХ РАСХОДОВ</t>
  </si>
  <si>
    <t>Численность постоянного населения</t>
  </si>
  <si>
    <t>Статистический бюллетень Иркутскстата "Численность населения по муниципальным образованиям"</t>
  </si>
  <si>
    <t>Численность постоянного городского населения</t>
  </si>
  <si>
    <t>Численность постоянного сельского населения</t>
  </si>
  <si>
    <t>Скорректированная численность постоянного сельского населения</t>
  </si>
  <si>
    <t>НГij+НСij</t>
  </si>
  <si>
    <t>НСij</t>
  </si>
  <si>
    <t>НГij</t>
  </si>
  <si>
    <t>Расчетная численность постоянного населения</t>
  </si>
  <si>
    <t>НГij+НССij</t>
  </si>
  <si>
    <t>2+3</t>
  </si>
  <si>
    <t>НCij х (1 - (∑НСij+∑НГij+НМТj-Нj)/∑НCij)</t>
  </si>
  <si>
    <t>Численность постоянного населения межселенных территорий муниципального района</t>
  </si>
  <si>
    <t>НМТj</t>
  </si>
  <si>
    <t>2+6</t>
  </si>
  <si>
    <t>рассчетное значение (ЧИСЛЕННОСТЬ)</t>
  </si>
  <si>
    <t>РКi (РК)</t>
  </si>
  <si>
    <t>Коэффициент отдаленности</t>
  </si>
  <si>
    <r>
      <t>К</t>
    </r>
    <r>
      <rPr>
        <vertAlign val="superscript"/>
        <sz val="11"/>
        <rFont val="Times New Roman"/>
        <family val="1"/>
      </rPr>
      <t>ОТД</t>
    </r>
  </si>
  <si>
    <t>Порядок распределения дотаций на выравнивание бюджетной обеспеченности поселений</t>
  </si>
  <si>
    <t>Коэффициент транспортной доступности i-го поселения</t>
  </si>
  <si>
    <r>
      <t>К</t>
    </r>
    <r>
      <rPr>
        <vertAlign val="subscript"/>
        <sz val="11"/>
        <rFont val="Times New Roman"/>
        <family val="1"/>
      </rPr>
      <t xml:space="preserve">ij </t>
    </r>
    <r>
      <rPr>
        <vertAlign val="superscript"/>
        <sz val="11"/>
        <rFont val="Times New Roman"/>
        <family val="1"/>
      </rPr>
      <t>ТР</t>
    </r>
  </si>
  <si>
    <t>Средневзвешенный коэффициент отдаленности</t>
  </si>
  <si>
    <r>
      <t>Кi</t>
    </r>
    <r>
      <rPr>
        <vertAlign val="superscript"/>
        <sz val="11"/>
        <rFont val="Times New Roman"/>
        <family val="1"/>
      </rPr>
      <t>ОТД</t>
    </r>
  </si>
  <si>
    <t>Общий коэффициент транспортной доступности для всех поселений</t>
  </si>
  <si>
    <r>
      <t>К</t>
    </r>
    <r>
      <rPr>
        <vertAlign val="subscript"/>
        <sz val="11"/>
        <rFont val="Times New Roman"/>
        <family val="1"/>
      </rPr>
      <t xml:space="preserve"> </t>
    </r>
    <r>
      <rPr>
        <vertAlign val="superscript"/>
        <sz val="11"/>
        <rFont val="Times New Roman"/>
        <family val="1"/>
      </rPr>
      <t>ТР</t>
    </r>
  </si>
  <si>
    <r>
      <t xml:space="preserve">1 +( Кij </t>
    </r>
    <r>
      <rPr>
        <vertAlign val="superscript"/>
        <sz val="11"/>
        <rFont val="Times New Roman"/>
        <family val="1"/>
      </rPr>
      <t>ТР</t>
    </r>
    <r>
      <rPr>
        <sz val="11"/>
        <rFont val="Times New Roman"/>
        <family val="1"/>
      </rPr>
      <t xml:space="preserve"> х Нi</t>
    </r>
    <r>
      <rPr>
        <vertAlign val="superscript"/>
        <sz val="11"/>
        <rFont val="Times New Roman"/>
        <family val="1"/>
      </rPr>
      <t>ТР</t>
    </r>
    <r>
      <rPr>
        <sz val="11"/>
        <rFont val="Times New Roman"/>
        <family val="1"/>
      </rPr>
      <t>/Нij)/1+( К</t>
    </r>
    <r>
      <rPr>
        <vertAlign val="superscript"/>
        <sz val="11"/>
        <rFont val="Times New Roman"/>
        <family val="1"/>
      </rPr>
      <t>ТР</t>
    </r>
    <r>
      <rPr>
        <sz val="11"/>
        <rFont val="Times New Roman"/>
        <family val="1"/>
      </rPr>
      <t xml:space="preserve"> х ∑Нi</t>
    </r>
    <r>
      <rPr>
        <vertAlign val="superscript"/>
        <sz val="11"/>
        <rFont val="Times New Roman"/>
        <family val="1"/>
      </rPr>
      <t>ТР</t>
    </r>
    <r>
      <rPr>
        <sz val="11"/>
        <rFont val="Times New Roman"/>
        <family val="1"/>
      </rPr>
      <t>/∑Нij)</t>
    </r>
  </si>
  <si>
    <t>Численность постоянного населения, проживающего в поселении, расположенном на территории, отнесенной к районам Крайнего Севера и приравненным к ним местностям с ограниченными сроками завоза грузов (продукции)</t>
  </si>
  <si>
    <r>
      <t>Нi</t>
    </r>
    <r>
      <rPr>
        <vertAlign val="superscript"/>
        <sz val="11"/>
        <rFont val="Times New Roman"/>
        <family val="1"/>
      </rPr>
      <t>ТР</t>
    </r>
  </si>
  <si>
    <t>1 + (9 х 11/числ)/1+(10 х итог 11/итог числен)</t>
  </si>
  <si>
    <r>
      <t>РКi +0,25 х (НССij/РНij)/РК +0,25 х (∑НССij/∑РНij) х (Кi</t>
    </r>
    <r>
      <rPr>
        <vertAlign val="superscript"/>
        <sz val="11"/>
        <rFont val="Times New Roman"/>
        <family val="1"/>
      </rPr>
      <t>ОТД</t>
    </r>
    <r>
      <rPr>
        <sz val="11"/>
        <rFont val="Times New Roman"/>
        <family val="1"/>
      </rPr>
      <t>/К</t>
    </r>
    <r>
      <rPr>
        <vertAlign val="superscript"/>
        <sz val="11"/>
        <rFont val="Times New Roman"/>
        <family val="1"/>
      </rPr>
      <t>ОТД</t>
    </r>
    <r>
      <rPr>
        <sz val="11"/>
        <rFont val="Times New Roman"/>
        <family val="1"/>
      </rPr>
      <t>)</t>
    </r>
  </si>
  <si>
    <r>
      <t>(∑ (Кi</t>
    </r>
    <r>
      <rPr>
        <vertAlign val="superscript"/>
        <sz val="11"/>
        <rFont val="Times New Roman"/>
        <family val="1"/>
      </rPr>
      <t>ОТД</t>
    </r>
    <r>
      <rPr>
        <sz val="11"/>
        <rFont val="Times New Roman"/>
        <family val="1"/>
      </rPr>
      <t xml:space="preserve"> х РНij))/∑РНij</t>
    </r>
  </si>
  <si>
    <t>Весовые коэффициенты А</t>
  </si>
  <si>
    <t>Весовые коэффициенты В</t>
  </si>
  <si>
    <r>
      <t>(Ri</t>
    </r>
    <r>
      <rPr>
        <vertAlign val="superscript"/>
        <sz val="11"/>
        <rFont val="Times New Roman"/>
        <family val="1"/>
      </rPr>
      <t>ЖКУ</t>
    </r>
    <r>
      <rPr>
        <sz val="11"/>
        <rFont val="Times New Roman"/>
        <family val="1"/>
      </rPr>
      <t xml:space="preserve"> +Ri</t>
    </r>
    <r>
      <rPr>
        <vertAlign val="superscript"/>
        <sz val="11"/>
        <rFont val="Times New Roman"/>
        <family val="1"/>
      </rPr>
      <t>КАП</t>
    </r>
    <r>
      <rPr>
        <sz val="11"/>
        <rFont val="Times New Roman"/>
        <family val="1"/>
      </rPr>
      <t>)/(R</t>
    </r>
    <r>
      <rPr>
        <vertAlign val="superscript"/>
        <sz val="11"/>
        <rFont val="Times New Roman"/>
        <family val="1"/>
      </rPr>
      <t>ЖКУ</t>
    </r>
    <r>
      <rPr>
        <sz val="11"/>
        <rFont val="Times New Roman"/>
        <family val="1"/>
      </rPr>
      <t xml:space="preserve"> +R</t>
    </r>
    <r>
      <rPr>
        <vertAlign val="superscript"/>
        <sz val="11"/>
        <rFont val="Times New Roman"/>
        <family val="1"/>
      </rPr>
      <t>КАП</t>
    </r>
    <r>
      <rPr>
        <sz val="11"/>
        <rFont val="Times New Roman"/>
        <family val="1"/>
      </rPr>
      <t>)</t>
    </r>
  </si>
  <si>
    <r>
      <t>Ri</t>
    </r>
    <r>
      <rPr>
        <vertAlign val="superscript"/>
        <sz val="11"/>
        <rFont val="Times New Roman"/>
        <family val="1"/>
      </rPr>
      <t>ЖКУ</t>
    </r>
  </si>
  <si>
    <r>
      <t>R</t>
    </r>
    <r>
      <rPr>
        <vertAlign val="superscript"/>
        <sz val="11"/>
        <rFont val="Times New Roman"/>
        <family val="1"/>
      </rPr>
      <t>ЖКУ</t>
    </r>
  </si>
  <si>
    <t>Постановление правительства РФ от 21.12.2011 № 1077 "О федеральных стандартах оплаты жилого помещения и коммунальных услуг на 2012-2014 годы"</t>
  </si>
  <si>
    <r>
      <t>Ri</t>
    </r>
    <r>
      <rPr>
        <vertAlign val="superscript"/>
        <sz val="11"/>
        <rFont val="Times New Roman"/>
        <family val="1"/>
      </rPr>
      <t>КАП</t>
    </r>
  </si>
  <si>
    <r>
      <t>R</t>
    </r>
    <r>
      <rPr>
        <vertAlign val="superscript"/>
        <sz val="11"/>
        <rFont val="Times New Roman"/>
        <family val="1"/>
      </rPr>
      <t>КАП</t>
    </r>
  </si>
  <si>
    <r>
      <t>Кi</t>
    </r>
    <r>
      <rPr>
        <vertAlign val="superscript"/>
        <sz val="11"/>
        <rFont val="Times New Roman"/>
        <family val="1"/>
      </rPr>
      <t>М</t>
    </r>
  </si>
  <si>
    <r>
      <t>Кi</t>
    </r>
    <r>
      <rPr>
        <vertAlign val="superscript"/>
        <sz val="11"/>
        <rFont val="Times New Roman"/>
        <family val="1"/>
      </rPr>
      <t>У</t>
    </r>
  </si>
  <si>
    <r>
      <t>Кi</t>
    </r>
    <r>
      <rPr>
        <vertAlign val="superscript"/>
        <sz val="11"/>
        <rFont val="Times New Roman"/>
        <family val="1"/>
      </rPr>
      <t>РАС</t>
    </r>
  </si>
  <si>
    <t>0,20 х ((∑РНij/N)/РНij))+0,80</t>
  </si>
  <si>
    <t>0,2 х (итог числен/12/числен поселен)+0,8</t>
  </si>
  <si>
    <t>(1+НГij/РНij)/(1+∑НГij/∑РНij)</t>
  </si>
  <si>
    <r>
      <t>(1+Нi</t>
    </r>
    <r>
      <rPr>
        <vertAlign val="superscript"/>
        <sz val="11"/>
        <rFont val="Times New Roman"/>
        <family val="1"/>
      </rPr>
      <t>500</t>
    </r>
    <r>
      <rPr>
        <sz val="11"/>
        <rFont val="Times New Roman"/>
        <family val="1"/>
      </rPr>
      <t xml:space="preserve"> /Нij) / (1+∑ Нi</t>
    </r>
    <r>
      <rPr>
        <vertAlign val="superscript"/>
        <sz val="11"/>
        <rFont val="Times New Roman"/>
        <family val="1"/>
      </rPr>
      <t>500</t>
    </r>
    <r>
      <rPr>
        <sz val="11"/>
        <rFont val="Times New Roman"/>
        <family val="1"/>
      </rPr>
      <t xml:space="preserve"> / ∑ Нij)</t>
    </r>
  </si>
  <si>
    <t>Численность постоянного населения, проживающего в населенных пунктах с численностью населения не более 500 чел.</t>
  </si>
  <si>
    <r>
      <t>Нi</t>
    </r>
    <r>
      <rPr>
        <vertAlign val="superscript"/>
        <sz val="11"/>
        <rFont val="Times New Roman"/>
        <family val="1"/>
      </rPr>
      <t>500</t>
    </r>
  </si>
  <si>
    <t>А1 х 4 + А2 х 8 + А3 х 12</t>
  </si>
  <si>
    <t>В1 х 18 + В2 х 19 +В3 х 20</t>
  </si>
  <si>
    <t>3 х 17 х 21</t>
  </si>
  <si>
    <t>(3 х 17 х итог числен)/ итог2</t>
  </si>
  <si>
    <t>ОПРЕДЕЛЕНИЕ ЧИСЛЕННОСТИ НАСЕЛЕНИЯ</t>
  </si>
  <si>
    <t>УСТАНАВЛИВАЮТСЯ РЕШЕНИЕМ ДУМЫ</t>
  </si>
  <si>
    <t>объем РФФПП</t>
  </si>
  <si>
    <r>
      <t>ПП/∑РНij х (БО</t>
    </r>
    <r>
      <rPr>
        <vertAlign val="superscript"/>
        <sz val="11"/>
        <rFont val="Times New Roman"/>
        <family val="1"/>
      </rPr>
      <t>max</t>
    </r>
    <r>
      <rPr>
        <sz val="11"/>
        <rFont val="Times New Roman"/>
        <family val="1"/>
      </rPr>
      <t xml:space="preserve"> - БОi </t>
    </r>
    <r>
      <rPr>
        <vertAlign val="superscript"/>
        <sz val="11"/>
        <rFont val="Times New Roman"/>
        <family val="1"/>
      </rPr>
      <t>+1</t>
    </r>
    <r>
      <rPr>
        <sz val="11"/>
        <rFont val="Times New Roman"/>
        <family val="1"/>
      </rPr>
      <t>) х ИБРi х РНij</t>
    </r>
  </si>
  <si>
    <t>Уровень бюджетной обеспеченности, до которого доводится уровень БО всех поселений муниципального района</t>
  </si>
  <si>
    <t>Уровень бюджетной обеспеченности i-го поселения с учетом дотации на выравнивание бюджетной обеспеченности из областного бюджета</t>
  </si>
  <si>
    <r>
      <t>ИБР</t>
    </r>
    <r>
      <rPr>
        <vertAlign val="subscript"/>
        <sz val="11"/>
        <rFont val="Times New Roman"/>
        <family val="1"/>
      </rPr>
      <t>i</t>
    </r>
  </si>
  <si>
    <t>Уровень бюджетной обеспеченности i-го поселения</t>
  </si>
  <si>
    <t>Порядковый номер поселения по росту уровня бюджетной обеспеченности с учетом дотации на выравнивание бюджетной обеспеченности поселений из областного бюджета</t>
  </si>
  <si>
    <t>k</t>
  </si>
  <si>
    <t>m</t>
  </si>
  <si>
    <t>Порядковый номер поселения по росту уровня бюджетной обеспеченности с учетом дотации на выравнивание бюджетной обеспеченности поселений из областного бюджета для которого выполняется условие</t>
  </si>
  <si>
    <r>
      <t>БО</t>
    </r>
    <r>
      <rPr>
        <vertAlign val="subscript"/>
        <sz val="11"/>
        <rFont val="Times New Roman"/>
        <family val="1"/>
      </rPr>
      <t>k</t>
    </r>
    <r>
      <rPr>
        <vertAlign val="superscript"/>
        <sz val="11"/>
        <rFont val="Times New Roman"/>
        <family val="1"/>
      </rPr>
      <t>+1</t>
    </r>
    <r>
      <rPr>
        <sz val="11"/>
        <rFont val="Times New Roman"/>
        <family val="1"/>
      </rPr>
      <t>&lt; БО</t>
    </r>
    <r>
      <rPr>
        <vertAlign val="superscript"/>
        <sz val="11"/>
        <rFont val="Times New Roman"/>
        <family val="1"/>
      </rPr>
      <t xml:space="preserve"> max</t>
    </r>
    <r>
      <rPr>
        <sz val="11"/>
        <rFont val="Times New Roman"/>
        <family val="1"/>
      </rPr>
      <t xml:space="preserve"> &lt; БО</t>
    </r>
    <r>
      <rPr>
        <vertAlign val="subscript"/>
        <sz val="11"/>
        <rFont val="Times New Roman"/>
        <family val="1"/>
      </rPr>
      <t>k+1</t>
    </r>
    <r>
      <rPr>
        <sz val="11"/>
        <rFont val="Times New Roman"/>
        <family val="1"/>
      </rPr>
      <t xml:space="preserve"> </t>
    </r>
    <r>
      <rPr>
        <vertAlign val="superscript"/>
        <sz val="11"/>
        <rFont val="Times New Roman"/>
        <family val="1"/>
      </rPr>
      <t>+1</t>
    </r>
  </si>
  <si>
    <t>9/8</t>
  </si>
  <si>
    <t>Размер дотации на выравнивание бюджетной обеспечнности поселений (а также объем налоговых доходов по дополнительным нормативам отчислений) i-му поселению из областного бюджета</t>
  </si>
  <si>
    <r>
      <t>Дi</t>
    </r>
    <r>
      <rPr>
        <vertAlign val="superscript"/>
        <sz val="11"/>
        <rFont val="Times New Roman"/>
        <family val="1"/>
      </rPr>
      <t>ОБЛ</t>
    </r>
  </si>
  <si>
    <r>
      <t>БОi + (Дi</t>
    </r>
    <r>
      <rPr>
        <vertAlign val="superscript"/>
        <sz val="11"/>
        <rFont val="Times New Roman"/>
        <family val="1"/>
      </rPr>
      <t>ОБЛ</t>
    </r>
    <r>
      <rPr>
        <sz val="11"/>
        <rFont val="Times New Roman"/>
        <family val="1"/>
      </rPr>
      <t>/(ПП/∑РНij х ИБРi х РНij))</t>
    </r>
  </si>
  <si>
    <t>7 + 6/(итог11/итог 10 х 8 х 10)</t>
  </si>
  <si>
    <t>наименование поселений</t>
  </si>
  <si>
    <r>
      <t>Постановление правительства РФ от 21.02.2013 № 146 "</t>
    </r>
    <r>
      <rPr>
        <sz val="11"/>
        <rFont val="Times New Roman"/>
        <family val="1"/>
      </rPr>
      <t>О федеральных стандартах оплаты жилого помещения и коммунальных услуг на 2013-2015 годы"</t>
    </r>
    <r>
      <rPr>
        <sz val="12"/>
        <rFont val="Times New Roman"/>
        <family val="1"/>
      </rPr>
      <t xml:space="preserve">
</t>
    </r>
  </si>
  <si>
    <t>В1(масштаб)</t>
  </si>
  <si>
    <t>А1 (з/плата)</t>
  </si>
  <si>
    <t>В2 (урбанизация)</t>
  </si>
  <si>
    <t>В3 (расселение)</t>
  </si>
  <si>
    <t>А2 (уровень цен, трансп. доступность))</t>
  </si>
  <si>
    <t>А3 (стоимость ЖКУ)</t>
  </si>
  <si>
    <r>
      <t xml:space="preserve">Дmin = 0,075 х (НД+ДВБОМР) + 0,20 х СППЭБР - НД </t>
    </r>
    <r>
      <rPr>
        <vertAlign val="superscript"/>
        <sz val="11"/>
        <rFont val="Times New Roman"/>
        <family val="1"/>
      </rPr>
      <t>ЕН</t>
    </r>
  </si>
  <si>
    <r>
      <t>(Дmin/(ПП/∑РНij) + ∑</t>
    </r>
    <r>
      <rPr>
        <vertAlign val="subscript"/>
        <sz val="11"/>
        <rFont val="Times New Roman"/>
        <family val="1"/>
      </rPr>
      <t>k=1</t>
    </r>
    <r>
      <rPr>
        <vertAlign val="superscript"/>
        <sz val="11"/>
        <rFont val="Times New Roman"/>
        <family val="1"/>
      </rPr>
      <t>m</t>
    </r>
    <r>
      <rPr>
        <sz val="11"/>
        <rFont val="Times New Roman"/>
        <family val="1"/>
      </rPr>
      <t>(БОk+1 х ИБРk х РНk)</t>
    </r>
  </si>
  <si>
    <r>
      <t xml:space="preserve"> ∑</t>
    </r>
    <r>
      <rPr>
        <vertAlign val="subscript"/>
        <sz val="11"/>
        <rFont val="Times New Roman"/>
        <family val="1"/>
      </rPr>
      <t>k=1</t>
    </r>
    <r>
      <rPr>
        <vertAlign val="superscript"/>
        <sz val="11"/>
        <rFont val="Times New Roman"/>
        <family val="1"/>
      </rPr>
      <t>m</t>
    </r>
    <r>
      <rPr>
        <sz val="11"/>
        <rFont val="Times New Roman"/>
        <family val="1"/>
      </rPr>
      <t>(БОk+1 х ИБРk х РНk)</t>
    </r>
  </si>
  <si>
    <r>
      <t>∑</t>
    </r>
    <r>
      <rPr>
        <vertAlign val="subscript"/>
        <sz val="11"/>
        <rFont val="Times New Roman"/>
        <family val="1"/>
      </rPr>
      <t>k=1</t>
    </r>
    <r>
      <rPr>
        <vertAlign val="superscript"/>
        <sz val="11"/>
        <rFont val="Times New Roman"/>
        <family val="1"/>
      </rPr>
      <t>m</t>
    </r>
    <r>
      <rPr>
        <sz val="11"/>
        <rFont val="Times New Roman"/>
        <family val="1"/>
      </rPr>
      <t>(ИБРk х РНk)</t>
    </r>
  </si>
  <si>
    <t>2.1</t>
  </si>
  <si>
    <t>2.2</t>
  </si>
  <si>
    <t>2.3</t>
  </si>
  <si>
    <t/>
  </si>
  <si>
    <t>2016 г.</t>
  </si>
  <si>
    <t>Данные для расчета дотации на выравнивание бюджетной обеспеченности поселений из районного бюджета на 2016 год</t>
  </si>
  <si>
    <t>РАСЧЕТ И РАСПРЕДЕЛЕНИЕ ДОТАЦИИ ИЗ РАЙОННОГО ФОНДА ФИНАНСОВОЙ ПОДДЕРЖКИ ПОСЕЛЕНИЙ НА 2016 ГОД</t>
  </si>
  <si>
    <t>Расчеты произведены согласно Приложению  9 к Закону Иркутской области 22.10.2013 г. № 74-ОЗ "О межбюджетных трансфертах и нормативах отчислений доходов в местные бюджеты"</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</si>
</sst>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0"/>
    <numFmt numFmtId="166" formatCode="#,##0.0"/>
    <numFmt numFmtId="167" formatCode="0.000"/>
    <numFmt numFmtId="168" formatCode="0.0"/>
    <numFmt numFmtId="169" formatCode="#,##0_ ;[Red]\-#,##0\ "/>
  </numFmts>
  <fonts count="67">
    <font>
      <sz val="10"/>
      <name val="Arial Cyr"/>
      <family val="0"/>
    </font>
    <font>
      <sz val="11"/>
      <color indexed="8"/>
      <name val="Calibri"/>
      <family val="2"/>
    </font>
    <font>
      <b/>
      <sz val="10"/>
      <name val="Times New Roman"/>
      <family val="1"/>
    </font>
    <font>
      <sz val="10"/>
      <name val="Times New Roman"/>
      <family val="1"/>
    </font>
    <font>
      <sz val="9"/>
      <name val="Times New Roman"/>
      <family val="1"/>
    </font>
    <font>
      <b/>
      <i/>
      <sz val="10"/>
      <name val="Times New Roman"/>
      <family val="1"/>
    </font>
    <font>
      <sz val="11"/>
      <name val="Times New Roman"/>
      <family val="1"/>
    </font>
    <font>
      <b/>
      <sz val="11"/>
      <name val="Times New Roman"/>
      <family val="1"/>
    </font>
    <font>
      <vertAlign val="superscript"/>
      <sz val="10"/>
      <name val="Times New Roman"/>
      <family val="1"/>
    </font>
    <font>
      <b/>
      <vertAlign val="superscript"/>
      <sz val="10"/>
      <name val="Times New Roman"/>
      <family val="1"/>
    </font>
    <font>
      <i/>
      <sz val="11"/>
      <name val="Times New Roman"/>
      <family val="1"/>
    </font>
    <font>
      <sz val="11"/>
      <name val="Calibri"/>
      <family val="2"/>
    </font>
    <font>
      <sz val="10"/>
      <name val="Calibri"/>
      <family val="2"/>
    </font>
    <font>
      <sz val="9.1"/>
      <name val="Times New Roman"/>
      <family val="1"/>
    </font>
    <font>
      <b/>
      <sz val="12"/>
      <name val="Times New Roman"/>
      <family val="1"/>
    </font>
    <font>
      <b/>
      <i/>
      <sz val="12"/>
      <name val="Times New Roman"/>
      <family val="1"/>
    </font>
    <font>
      <b/>
      <vertAlign val="superscript"/>
      <sz val="12"/>
      <name val="Times New Roman"/>
      <family val="1"/>
    </font>
    <font>
      <sz val="12"/>
      <name val="Times New Roman"/>
      <family val="1"/>
    </font>
    <font>
      <vertAlign val="superscript"/>
      <sz val="11"/>
      <name val="Times New Roman"/>
      <family val="1"/>
    </font>
    <font>
      <vertAlign val="superscript"/>
      <sz val="12"/>
      <name val="Times New Roman"/>
      <family val="1"/>
    </font>
    <font>
      <b/>
      <i/>
      <vertAlign val="superscript"/>
      <sz val="12"/>
      <name val="Times New Roman"/>
      <family val="1"/>
    </font>
    <font>
      <vertAlign val="subscript"/>
      <sz val="12"/>
      <name val="Times New Roman"/>
      <family val="1"/>
    </font>
    <font>
      <b/>
      <sz val="11"/>
      <color indexed="10"/>
      <name val="Times New Roman"/>
      <family val="1"/>
    </font>
    <font>
      <b/>
      <sz val="14"/>
      <name val="Times New Roman"/>
      <family val="1"/>
    </font>
    <font>
      <i/>
      <sz val="10"/>
      <name val="Times New Roman"/>
      <family val="1"/>
    </font>
    <font>
      <sz val="8"/>
      <name val="Arial Cyr"/>
      <family val="0"/>
    </font>
    <font>
      <sz val="10"/>
      <name val="Arial"/>
      <family val="2"/>
    </font>
    <font>
      <vertAlign val="subscript"/>
      <sz val="11"/>
      <name val="Times New Roman"/>
      <family val="1"/>
    </font>
    <font>
      <sz val="10"/>
      <color indexed="10"/>
      <name val="Times New Roman"/>
      <family val="1"/>
    </font>
    <font>
      <vertAlign val="subscript"/>
      <sz val="10"/>
      <name val="Times New Roman"/>
      <family val="1"/>
    </font>
    <font>
      <b/>
      <sz val="10"/>
      <name val="Arial Cyr"/>
      <family val="0"/>
    </font>
    <font>
      <b/>
      <sz val="14"/>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1"/>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FF0000"/>
        <bgColor indexed="64"/>
      </patternFill>
    </fill>
    <fill>
      <patternFill patternType="solid">
        <fgColor theme="0" tint="-0.3499799966812134"/>
        <bgColor indexed="64"/>
      </patternFill>
    </fill>
    <fill>
      <patternFill patternType="solid">
        <fgColor rgb="FFFFFF0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style="thin"/>
      <top style="thin"/>
      <bottom/>
    </border>
    <border>
      <left style="medium"/>
      <right style="thin"/>
      <top style="thin"/>
      <bottom style="thin"/>
    </border>
    <border>
      <left style="thin"/>
      <right style="medium"/>
      <top style="thin"/>
      <bottom style="thin"/>
    </border>
    <border>
      <left style="medium"/>
      <right style="medium"/>
      <top style="thin"/>
      <bottom style="thin"/>
    </border>
    <border>
      <left style="medium"/>
      <right style="medium"/>
      <top style="medium"/>
      <bottom style="thin"/>
    </border>
    <border>
      <left style="medium"/>
      <right style="medium"/>
      <top/>
      <bottom style="thin"/>
    </border>
    <border>
      <left style="medium"/>
      <right style="thin"/>
      <top style="medium"/>
      <bottom style="thin"/>
    </border>
    <border>
      <left style="thin"/>
      <right style="medium"/>
      <top style="medium"/>
      <bottom style="thin"/>
    </border>
    <border>
      <left style="medium"/>
      <right/>
      <top/>
      <bottom/>
    </border>
    <border>
      <left/>
      <right style="medium"/>
      <top/>
      <bottom/>
    </border>
    <border>
      <left style="thin"/>
      <right/>
      <top style="thin"/>
      <bottom/>
    </border>
    <border>
      <left style="medium"/>
      <right style="medium"/>
      <top style="thin"/>
      <bottom/>
    </border>
    <border>
      <left style="medium"/>
      <right/>
      <top style="medium"/>
      <bottom style="medium"/>
    </border>
    <border>
      <left style="medium"/>
      <right style="medium"/>
      <top style="medium"/>
      <bottom style="medium"/>
    </border>
    <border>
      <left style="medium"/>
      <right style="thin"/>
      <top style="medium"/>
      <bottom style="medium"/>
    </border>
    <border>
      <left style="thin"/>
      <right style="medium"/>
      <top style="medium"/>
      <bottom style="medium"/>
    </border>
    <border>
      <left style="thin"/>
      <right style="thin"/>
      <top style="medium"/>
      <bottom style="thin"/>
    </border>
    <border>
      <left style="thin"/>
      <right style="thin"/>
      <top style="thin"/>
      <bottom style="medium"/>
    </border>
    <border>
      <left style="thin"/>
      <right style="medium"/>
      <top style="thin"/>
      <bottom style="medium"/>
    </border>
    <border>
      <left style="thin"/>
      <right style="thin"/>
      <top/>
      <bottom style="thin"/>
    </border>
    <border>
      <left style="medium"/>
      <right/>
      <top style="thin"/>
      <bottom style="thin"/>
    </border>
    <border>
      <left/>
      <right style="medium"/>
      <top style="thin"/>
      <bottom style="thin"/>
    </border>
    <border>
      <left/>
      <right style="medium"/>
      <top style="medium"/>
      <bottom style="thin"/>
    </border>
    <border>
      <left/>
      <right style="medium"/>
      <top style="medium"/>
      <bottom style="medium"/>
    </border>
    <border>
      <left/>
      <right/>
      <top style="thin"/>
      <bottom style="thin"/>
    </border>
    <border>
      <left style="medium"/>
      <right style="thin"/>
      <top style="thin"/>
      <bottom/>
    </border>
    <border>
      <left style="thin"/>
      <right style="medium"/>
      <top style="thin"/>
      <bottom/>
    </border>
    <border>
      <left style="thin"/>
      <right style="thin"/>
      <top style="medium"/>
      <bottom style="medium"/>
    </border>
    <border>
      <left/>
      <right style="thin"/>
      <top style="medium"/>
      <bottom style="medium"/>
    </border>
    <border>
      <left style="thin"/>
      <right/>
      <top style="medium"/>
      <bottom style="medium"/>
    </border>
    <border>
      <left/>
      <right/>
      <top/>
      <bottom style="thin"/>
    </border>
    <border>
      <left/>
      <right style="medium"/>
      <top/>
      <bottom style="thin"/>
    </border>
    <border>
      <left style="medium"/>
      <right/>
      <top/>
      <bottom style="thin"/>
    </border>
    <border>
      <left style="medium"/>
      <right style="thin"/>
      <top style="thin"/>
      <bottom style="medium"/>
    </border>
    <border>
      <left style="medium"/>
      <right/>
      <top style="medium"/>
      <bottom style="thin"/>
    </border>
    <border>
      <left style="thin"/>
      <right/>
      <top/>
      <bottom style="thin"/>
    </border>
    <border>
      <left/>
      <right/>
      <top style="medium"/>
      <bottom style="thin"/>
    </border>
    <border>
      <left style="thin"/>
      <right style="medium"/>
      <top/>
      <bottom/>
    </border>
    <border>
      <left style="thin"/>
      <right style="medium"/>
      <top/>
      <bottom style="thin"/>
    </border>
    <border>
      <left style="medium"/>
      <right style="medium"/>
      <top/>
      <bottom/>
    </border>
    <border>
      <left style="medium"/>
      <right style="thin"/>
      <top/>
      <bottom/>
    </border>
    <border>
      <left style="medium"/>
      <right style="thin"/>
      <top/>
      <bottom style="thin"/>
    </border>
    <border>
      <left style="medium"/>
      <right/>
      <top style="thin"/>
      <bottom/>
    </border>
    <border>
      <left/>
      <right style="medium"/>
      <top style="thin"/>
      <bottom/>
    </border>
    <border>
      <left style="thin"/>
      <right style="thin"/>
      <top/>
      <bottom/>
    </border>
    <border>
      <left/>
      <right/>
      <top style="thin"/>
      <bottom/>
    </border>
    <border>
      <left/>
      <right style="thin"/>
      <top/>
      <bottom style="thin"/>
    </border>
    <border>
      <left style="thin"/>
      <right/>
      <top/>
      <bottom/>
    </border>
    <border>
      <left/>
      <right style="thin"/>
      <top/>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26" fillId="0" borderId="0">
      <alignment/>
      <protection/>
    </xf>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48" fillId="0" borderId="0">
      <alignment/>
      <protection/>
    </xf>
    <xf numFmtId="0" fontId="0" fillId="0" borderId="0">
      <alignment/>
      <protection/>
    </xf>
    <xf numFmtId="0" fontId="25" fillId="0" borderId="0">
      <alignment/>
      <protection/>
    </xf>
    <xf numFmtId="0" fontId="48" fillId="0" borderId="0">
      <alignment/>
      <protection/>
    </xf>
    <xf numFmtId="0" fontId="0" fillId="0" borderId="0">
      <alignment/>
      <protection/>
    </xf>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32" borderId="0" applyNumberFormat="0" applyBorder="0" applyAlignment="0" applyProtection="0"/>
  </cellStyleXfs>
  <cellXfs count="502">
    <xf numFmtId="0" fontId="0" fillId="0" borderId="0" xfId="0" applyAlignment="1">
      <alignment/>
    </xf>
    <xf numFmtId="0" fontId="3" fillId="0" borderId="0" xfId="0" applyFont="1" applyAlignment="1">
      <alignment/>
    </xf>
    <xf numFmtId="0" fontId="3" fillId="0" borderId="0" xfId="0" applyFont="1" applyAlignment="1">
      <alignment horizontal="center" vertical="center" wrapText="1"/>
    </xf>
    <xf numFmtId="0" fontId="4" fillId="0" borderId="10" xfId="0" applyFont="1" applyBorder="1" applyAlignment="1">
      <alignment vertical="center" wrapText="1"/>
    </xf>
    <xf numFmtId="0" fontId="4" fillId="0" borderId="0" xfId="0" applyFont="1" applyAlignment="1">
      <alignment horizontal="center" vertical="center" wrapText="1"/>
    </xf>
    <xf numFmtId="0" fontId="2" fillId="0" borderId="10" xfId="0" applyFont="1" applyBorder="1" applyAlignment="1">
      <alignment/>
    </xf>
    <xf numFmtId="0" fontId="2" fillId="0" borderId="0" xfId="0" applyFont="1" applyAlignment="1">
      <alignment/>
    </xf>
    <xf numFmtId="0" fontId="3" fillId="0" borderId="0" xfId="0" applyFont="1" applyFill="1" applyAlignment="1">
      <alignment/>
    </xf>
    <xf numFmtId="0" fontId="3"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3" fontId="3" fillId="0" borderId="10" xfId="0" applyNumberFormat="1" applyFont="1" applyFill="1" applyBorder="1" applyAlignment="1">
      <alignment/>
    </xf>
    <xf numFmtId="3" fontId="2" fillId="0" borderId="10" xfId="0" applyNumberFormat="1" applyFont="1" applyFill="1" applyBorder="1" applyAlignment="1">
      <alignment/>
    </xf>
    <xf numFmtId="0" fontId="3" fillId="0" borderId="10" xfId="0" applyFont="1" applyFill="1" applyBorder="1" applyAlignment="1">
      <alignment horizontal="center" vertical="center" wrapText="1"/>
    </xf>
    <xf numFmtId="0" fontId="3" fillId="0" borderId="0" xfId="0" applyNumberFormat="1" applyFont="1" applyAlignment="1">
      <alignment horizontal="center" vertical="center" wrapText="1"/>
    </xf>
    <xf numFmtId="0" fontId="3" fillId="0" borderId="0" xfId="0" applyNumberFormat="1" applyFont="1" applyAlignment="1">
      <alignment horizontal="left" vertical="center" wrapText="1"/>
    </xf>
    <xf numFmtId="0" fontId="3" fillId="0" borderId="10" xfId="0" applyNumberFormat="1" applyFont="1" applyBorder="1" applyAlignment="1">
      <alignment horizontal="center" vertical="center" wrapText="1"/>
    </xf>
    <xf numFmtId="0" fontId="6" fillId="0" borderId="0" xfId="0" applyFont="1" applyAlignment="1">
      <alignment/>
    </xf>
    <xf numFmtId="0" fontId="6" fillId="0" borderId="0" xfId="0" applyFont="1" applyFill="1" applyAlignment="1">
      <alignment/>
    </xf>
    <xf numFmtId="1" fontId="3" fillId="0" borderId="10" xfId="0" applyNumberFormat="1" applyFont="1" applyBorder="1" applyAlignment="1">
      <alignment vertical="center"/>
    </xf>
    <xf numFmtId="1" fontId="6" fillId="9" borderId="10" xfId="0" applyNumberFormat="1" applyFont="1" applyFill="1" applyBorder="1" applyAlignment="1">
      <alignment vertical="center"/>
    </xf>
    <xf numFmtId="1" fontId="6" fillId="3" borderId="10" xfId="0" applyNumberFormat="1" applyFont="1" applyFill="1" applyBorder="1" applyAlignment="1">
      <alignment vertical="center"/>
    </xf>
    <xf numFmtId="1" fontId="6" fillId="0" borderId="10" xfId="0" applyNumberFormat="1" applyFont="1" applyBorder="1" applyAlignment="1">
      <alignment vertical="center"/>
    </xf>
    <xf numFmtId="0" fontId="2" fillId="9" borderId="10" xfId="0" applyNumberFormat="1" applyFont="1" applyFill="1" applyBorder="1" applyAlignment="1">
      <alignment horizontal="center" vertical="center" wrapText="1"/>
    </xf>
    <xf numFmtId="0" fontId="3" fillId="3" borderId="10"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0" fontId="2" fillId="9" borderId="10" xfId="0" applyFont="1" applyFill="1" applyBorder="1" applyAlignment="1">
      <alignment horizontal="center" vertical="center" wrapText="1"/>
    </xf>
    <xf numFmtId="0" fontId="4" fillId="9" borderId="10" xfId="0" applyFont="1" applyFill="1" applyBorder="1" applyAlignment="1">
      <alignment horizontal="center" vertical="center" wrapText="1"/>
    </xf>
    <xf numFmtId="3" fontId="2" fillId="9" borderId="10" xfId="0" applyNumberFormat="1" applyFont="1" applyFill="1" applyBorder="1" applyAlignment="1">
      <alignment/>
    </xf>
    <xf numFmtId="0" fontId="4" fillId="3" borderId="10" xfId="0" applyFont="1" applyFill="1" applyBorder="1" applyAlignment="1">
      <alignment horizontal="center" vertical="center" wrapText="1"/>
    </xf>
    <xf numFmtId="165" fontId="3" fillId="3" borderId="10" xfId="0" applyNumberFormat="1" applyFont="1" applyFill="1" applyBorder="1" applyAlignment="1">
      <alignment/>
    </xf>
    <xf numFmtId="165" fontId="2" fillId="3" borderId="10" xfId="0" applyNumberFormat="1" applyFont="1" applyFill="1" applyBorder="1" applyAlignment="1">
      <alignment/>
    </xf>
    <xf numFmtId="0" fontId="6" fillId="3" borderId="10" xfId="0" applyFont="1" applyFill="1" applyBorder="1" applyAlignment="1">
      <alignment horizontal="center" vertical="center" wrapText="1"/>
    </xf>
    <xf numFmtId="0" fontId="6" fillId="0" borderId="10" xfId="0" applyFont="1" applyBorder="1" applyAlignment="1">
      <alignment vertical="center" wrapText="1"/>
    </xf>
    <xf numFmtId="0" fontId="6" fillId="9"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Alignment="1">
      <alignment horizontal="center" vertical="center" wrapText="1"/>
    </xf>
    <xf numFmtId="4" fontId="3" fillId="3" borderId="10" xfId="0" applyNumberFormat="1" applyFont="1" applyFill="1" applyBorder="1" applyAlignment="1">
      <alignment/>
    </xf>
    <xf numFmtId="4" fontId="2" fillId="3" borderId="10" xfId="0" applyNumberFormat="1" applyFont="1" applyFill="1" applyBorder="1" applyAlignment="1">
      <alignment/>
    </xf>
    <xf numFmtId="0" fontId="3"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3" fontId="2" fillId="3" borderId="10" xfId="0" applyNumberFormat="1" applyFont="1" applyFill="1" applyBorder="1" applyAlignment="1">
      <alignment/>
    </xf>
    <xf numFmtId="0" fontId="4" fillId="3" borderId="12" xfId="0" applyFont="1" applyFill="1" applyBorder="1" applyAlignment="1">
      <alignment horizontal="center" vertical="center" wrapText="1"/>
    </xf>
    <xf numFmtId="3" fontId="3" fillId="3" borderId="10" xfId="0" applyNumberFormat="1" applyFont="1" applyFill="1" applyBorder="1" applyAlignment="1">
      <alignment/>
    </xf>
    <xf numFmtId="4" fontId="3" fillId="3" borderId="12" xfId="0" applyNumberFormat="1" applyFont="1" applyFill="1" applyBorder="1" applyAlignment="1">
      <alignment/>
    </xf>
    <xf numFmtId="164" fontId="3" fillId="3" borderId="10" xfId="0" applyNumberFormat="1" applyFont="1" applyFill="1" applyBorder="1" applyAlignment="1">
      <alignment/>
    </xf>
    <xf numFmtId="164" fontId="2" fillId="3" borderId="10" xfId="0" applyNumberFormat="1" applyFont="1" applyFill="1" applyBorder="1" applyAlignment="1">
      <alignment/>
    </xf>
    <xf numFmtId="0" fontId="2" fillId="3" borderId="10" xfId="0" applyFont="1" applyFill="1" applyBorder="1" applyAlignment="1">
      <alignment/>
    </xf>
    <xf numFmtId="0" fontId="4" fillId="3" borderId="13" xfId="0" applyFont="1" applyFill="1" applyBorder="1" applyAlignment="1">
      <alignment horizontal="center" vertical="center" wrapText="1"/>
    </xf>
    <xf numFmtId="0" fontId="14" fillId="9"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7" fillId="0" borderId="0" xfId="0" applyFont="1" applyAlignment="1">
      <alignment horizontal="center" vertical="center" wrapText="1"/>
    </xf>
    <xf numFmtId="14" fontId="3" fillId="3" borderId="10" xfId="0" applyNumberFormat="1" applyFont="1" applyFill="1" applyBorder="1" applyAlignment="1">
      <alignment horizontal="center" vertical="center" wrapText="1"/>
    </xf>
    <xf numFmtId="166" fontId="3" fillId="3" borderId="10" xfId="0" applyNumberFormat="1" applyFont="1" applyFill="1" applyBorder="1" applyAlignment="1">
      <alignment horizontal="right" vertical="center"/>
    </xf>
    <xf numFmtId="0" fontId="17" fillId="3" borderId="13" xfId="0" applyFont="1" applyFill="1" applyBorder="1" applyAlignment="1">
      <alignment horizontal="center" vertical="center" wrapText="1"/>
    </xf>
    <xf numFmtId="164" fontId="3" fillId="3" borderId="10" xfId="0" applyNumberFormat="1" applyFont="1" applyFill="1" applyBorder="1" applyAlignment="1">
      <alignment horizontal="right" vertical="center"/>
    </xf>
    <xf numFmtId="0" fontId="3" fillId="9" borderId="10" xfId="0" applyFont="1" applyFill="1" applyBorder="1" applyAlignment="1">
      <alignment horizontal="center" vertical="center"/>
    </xf>
    <xf numFmtId="0" fontId="3" fillId="3" borderId="10" xfId="0" applyFont="1" applyFill="1" applyBorder="1" applyAlignment="1">
      <alignment horizontal="center" vertical="center"/>
    </xf>
    <xf numFmtId="0" fontId="3" fillId="0" borderId="0" xfId="0" applyFont="1" applyAlignment="1">
      <alignment horizontal="center" vertical="center"/>
    </xf>
    <xf numFmtId="3" fontId="6" fillId="0" borderId="10" xfId="0" applyNumberFormat="1" applyFont="1" applyBorder="1" applyAlignment="1">
      <alignment/>
    </xf>
    <xf numFmtId="0" fontId="3" fillId="0" borderId="10" xfId="0" applyFont="1" applyBorder="1" applyAlignment="1">
      <alignment/>
    </xf>
    <xf numFmtId="3" fontId="6" fillId="3" borderId="10" xfId="0" applyNumberFormat="1" applyFont="1" applyFill="1" applyBorder="1" applyAlignment="1">
      <alignment/>
    </xf>
    <xf numFmtId="0" fontId="14"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3" fontId="3" fillId="33" borderId="10" xfId="0" applyNumberFormat="1" applyFont="1" applyFill="1" applyBorder="1" applyAlignment="1">
      <alignment/>
    </xf>
    <xf numFmtId="3" fontId="2" fillId="33" borderId="10" xfId="0" applyNumberFormat="1" applyFont="1" applyFill="1" applyBorder="1" applyAlignment="1">
      <alignment/>
    </xf>
    <xf numFmtId="0" fontId="3"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7" fillId="0" borderId="10" xfId="0" applyFont="1" applyBorder="1" applyAlignment="1">
      <alignment horizontal="center" vertical="center" wrapText="1"/>
    </xf>
    <xf numFmtId="0" fontId="17" fillId="0" borderId="0" xfId="0" applyFont="1" applyAlignment="1">
      <alignment/>
    </xf>
    <xf numFmtId="0" fontId="3" fillId="0" borderId="10" xfId="0" applyFont="1" applyFill="1" applyBorder="1" applyAlignment="1">
      <alignment horizontal="center" vertical="center"/>
    </xf>
    <xf numFmtId="49" fontId="17"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xf>
    <xf numFmtId="49" fontId="3" fillId="0" borderId="10" xfId="0" applyNumberFormat="1" applyFont="1" applyFill="1" applyBorder="1" applyAlignment="1">
      <alignment horizontal="left" vertical="center" wrapText="1"/>
    </xf>
    <xf numFmtId="0" fontId="6" fillId="0" borderId="10" xfId="0" applyFont="1" applyFill="1" applyBorder="1" applyAlignment="1">
      <alignment horizontal="center" vertical="center"/>
    </xf>
    <xf numFmtId="0" fontId="4" fillId="0" borderId="13" xfId="0" applyFont="1" applyFill="1" applyBorder="1" applyAlignment="1">
      <alignment horizontal="center" vertical="center" wrapText="1"/>
    </xf>
    <xf numFmtId="0" fontId="14" fillId="0" borderId="13" xfId="0" applyFont="1" applyFill="1" applyBorder="1" applyAlignment="1">
      <alignment horizontal="center" vertical="center" wrapText="1"/>
    </xf>
    <xf numFmtId="14" fontId="3" fillId="3" borderId="13" xfId="0" applyNumberFormat="1" applyFont="1" applyFill="1" applyBorder="1" applyAlignment="1">
      <alignment horizontal="center" vertical="center" wrapText="1"/>
    </xf>
    <xf numFmtId="4" fontId="2" fillId="3" borderId="12" xfId="0" applyNumberFormat="1" applyFont="1" applyFill="1" applyBorder="1" applyAlignment="1">
      <alignment/>
    </xf>
    <xf numFmtId="166" fontId="3" fillId="3" borderId="10" xfId="0" applyNumberFormat="1" applyFont="1" applyFill="1" applyBorder="1" applyAlignment="1">
      <alignment/>
    </xf>
    <xf numFmtId="166" fontId="2" fillId="3" borderId="10" xfId="0" applyNumberFormat="1" applyFont="1" applyFill="1" applyBorder="1" applyAlignment="1">
      <alignment/>
    </xf>
    <xf numFmtId="3" fontId="3" fillId="3" borderId="10" xfId="0" applyNumberFormat="1" applyFont="1" applyFill="1" applyBorder="1" applyAlignment="1">
      <alignment horizontal="right" vertical="center"/>
    </xf>
    <xf numFmtId="3" fontId="2" fillId="3" borderId="10" xfId="0" applyNumberFormat="1" applyFont="1" applyFill="1" applyBorder="1" applyAlignment="1">
      <alignment horizontal="right" vertical="center"/>
    </xf>
    <xf numFmtId="16" fontId="4" fillId="3" borderId="10" xfId="0" applyNumberFormat="1" applyFont="1" applyFill="1" applyBorder="1" applyAlignment="1">
      <alignment horizontal="center" vertical="center" wrapText="1"/>
    </xf>
    <xf numFmtId="3" fontId="2" fillId="3" borderId="10" xfId="0" applyNumberFormat="1" applyFont="1" applyFill="1" applyBorder="1" applyAlignment="1">
      <alignment horizontal="right"/>
    </xf>
    <xf numFmtId="2" fontId="3" fillId="3" borderId="12" xfId="0" applyNumberFormat="1" applyFont="1" applyFill="1" applyBorder="1" applyAlignment="1">
      <alignment/>
    </xf>
    <xf numFmtId="0" fontId="23" fillId="0" borderId="0" xfId="0" applyFont="1" applyAlignment="1">
      <alignment/>
    </xf>
    <xf numFmtId="0" fontId="14" fillId="0" borderId="0" xfId="0" applyFont="1" applyAlignment="1">
      <alignment/>
    </xf>
    <xf numFmtId="0" fontId="2" fillId="0" borderId="0" xfId="0" applyFont="1" applyAlignment="1">
      <alignment horizontal="center"/>
    </xf>
    <xf numFmtId="0" fontId="3" fillId="6" borderId="10"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3" fillId="6" borderId="10" xfId="0" applyFont="1" applyFill="1" applyBorder="1" applyAlignment="1">
      <alignment horizontal="center" vertical="center"/>
    </xf>
    <xf numFmtId="0" fontId="6" fillId="6" borderId="10" xfId="0" applyFont="1" applyFill="1" applyBorder="1" applyAlignment="1">
      <alignment horizontal="center" vertical="center" wrapText="1"/>
    </xf>
    <xf numFmtId="0" fontId="4" fillId="6" borderId="10" xfId="0" applyFont="1" applyFill="1" applyBorder="1" applyAlignment="1">
      <alignment horizontal="center" vertical="center" wrapText="1"/>
    </xf>
    <xf numFmtId="3" fontId="3" fillId="6" borderId="10" xfId="0" applyNumberFormat="1" applyFont="1" applyFill="1" applyBorder="1" applyAlignment="1">
      <alignment/>
    </xf>
    <xf numFmtId="3" fontId="2" fillId="6" borderId="10" xfId="0" applyNumberFormat="1" applyFont="1" applyFill="1" applyBorder="1" applyAlignment="1">
      <alignment/>
    </xf>
    <xf numFmtId="4" fontId="3" fillId="3" borderId="10" xfId="0" applyNumberFormat="1" applyFont="1" applyFill="1" applyBorder="1" applyAlignment="1">
      <alignment horizontal="right" vertical="center"/>
    </xf>
    <xf numFmtId="3" fontId="3" fillId="6" borderId="10" xfId="0" applyNumberFormat="1" applyFont="1" applyFill="1" applyBorder="1" applyAlignment="1">
      <alignment horizontal="right" vertical="center"/>
    </xf>
    <xf numFmtId="4" fontId="3" fillId="6" borderId="10" xfId="0" applyNumberFormat="1" applyFont="1" applyFill="1" applyBorder="1" applyAlignment="1">
      <alignment horizontal="right" vertical="center"/>
    </xf>
    <xf numFmtId="4" fontId="2" fillId="6" borderId="10" xfId="0" applyNumberFormat="1" applyFont="1" applyFill="1" applyBorder="1" applyAlignment="1">
      <alignment/>
    </xf>
    <xf numFmtId="4" fontId="3" fillId="0" borderId="13" xfId="0" applyNumberFormat="1" applyFont="1" applyFill="1" applyBorder="1" applyAlignment="1">
      <alignment/>
    </xf>
    <xf numFmtId="4" fontId="3" fillId="0" borderId="10" xfId="0" applyNumberFormat="1" applyFont="1" applyFill="1" applyBorder="1" applyAlignment="1">
      <alignment/>
    </xf>
    <xf numFmtId="4" fontId="2" fillId="0" borderId="10" xfId="0" applyNumberFormat="1" applyFont="1" applyFill="1" applyBorder="1" applyAlignment="1">
      <alignment/>
    </xf>
    <xf numFmtId="14" fontId="3" fillId="6" borderId="13" xfId="0" applyNumberFormat="1" applyFont="1" applyFill="1" applyBorder="1" applyAlignment="1">
      <alignment horizontal="center" vertical="center" wrapText="1"/>
    </xf>
    <xf numFmtId="0" fontId="14" fillId="6" borderId="13" xfId="0" applyFont="1" applyFill="1" applyBorder="1" applyAlignment="1">
      <alignment horizontal="center" vertical="center" wrapText="1"/>
    </xf>
    <xf numFmtId="0" fontId="4" fillId="6" borderId="13" xfId="0" applyFont="1" applyFill="1" applyBorder="1" applyAlignment="1">
      <alignment horizontal="center" vertical="center" wrapText="1"/>
    </xf>
    <xf numFmtId="166" fontId="3" fillId="6" borderId="10" xfId="0" applyNumberFormat="1" applyFont="1" applyFill="1" applyBorder="1" applyAlignment="1">
      <alignment horizontal="right" vertical="center"/>
    </xf>
    <xf numFmtId="164" fontId="3" fillId="6" borderId="10" xfId="0" applyNumberFormat="1" applyFont="1" applyFill="1" applyBorder="1" applyAlignment="1">
      <alignment horizontal="right" vertical="center"/>
    </xf>
    <xf numFmtId="0" fontId="4" fillId="6" borderId="14" xfId="0" applyFont="1" applyFill="1" applyBorder="1" applyAlignment="1">
      <alignment horizontal="center" vertical="center" wrapText="1"/>
    </xf>
    <xf numFmtId="3" fontId="3" fillId="6" borderId="10" xfId="0" applyNumberFormat="1" applyFont="1" applyFill="1" applyBorder="1" applyAlignment="1">
      <alignment/>
    </xf>
    <xf numFmtId="3" fontId="2" fillId="6" borderId="10" xfId="0" applyNumberFormat="1" applyFont="1" applyFill="1" applyBorder="1" applyAlignment="1">
      <alignment/>
    </xf>
    <xf numFmtId="0" fontId="17" fillId="0" borderId="12"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2" xfId="0" applyFont="1" applyBorder="1" applyAlignment="1">
      <alignment/>
    </xf>
    <xf numFmtId="0" fontId="17" fillId="0" borderId="17" xfId="0" applyFont="1" applyBorder="1" applyAlignment="1">
      <alignment horizontal="center" vertical="center" wrapText="1"/>
    </xf>
    <xf numFmtId="9" fontId="17" fillId="0" borderId="10" xfId="0" applyNumberFormat="1" applyFont="1" applyBorder="1" applyAlignment="1">
      <alignment horizontal="center" vertical="center" wrapText="1"/>
    </xf>
    <xf numFmtId="0" fontId="17" fillId="0" borderId="18" xfId="0" applyFont="1" applyBorder="1" applyAlignment="1">
      <alignment horizontal="center"/>
    </xf>
    <xf numFmtId="9" fontId="17" fillId="0" borderId="15" xfId="0" applyNumberFormat="1" applyFont="1" applyBorder="1" applyAlignment="1">
      <alignment horizontal="center" vertical="center" wrapText="1"/>
    </xf>
    <xf numFmtId="9" fontId="17" fillId="0" borderId="16" xfId="0" applyNumberFormat="1" applyFont="1" applyBorder="1" applyAlignment="1">
      <alignment horizontal="center" vertical="center" wrapText="1"/>
    </xf>
    <xf numFmtId="0" fontId="17" fillId="0" borderId="19" xfId="0" applyFont="1" applyBorder="1" applyAlignment="1">
      <alignment horizontal="center" vertical="center" wrapText="1"/>
    </xf>
    <xf numFmtId="0" fontId="17" fillId="0" borderId="17" xfId="0" applyFont="1" applyBorder="1" applyAlignment="1">
      <alignment vertical="center" wrapText="1"/>
    </xf>
    <xf numFmtId="0" fontId="17" fillId="0" borderId="20" xfId="0" applyFont="1" applyBorder="1" applyAlignment="1">
      <alignment horizontal="center"/>
    </xf>
    <xf numFmtId="0" fontId="17" fillId="0" borderId="21" xfId="0" applyFont="1" applyBorder="1" applyAlignment="1">
      <alignment horizontal="center"/>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4" xfId="0" applyFont="1" applyBorder="1" applyAlignment="1">
      <alignment/>
    </xf>
    <xf numFmtId="0" fontId="17" fillId="0" borderId="25" xfId="0" applyFont="1" applyBorder="1" applyAlignment="1">
      <alignment vertical="center" wrapText="1"/>
    </xf>
    <xf numFmtId="0" fontId="14" fillId="0" borderId="26" xfId="0" applyFont="1" applyBorder="1" applyAlignment="1">
      <alignment/>
    </xf>
    <xf numFmtId="0" fontId="17" fillId="0" borderId="27" xfId="0" applyFont="1" applyBorder="1" applyAlignment="1">
      <alignment vertical="center" wrapText="1"/>
    </xf>
    <xf numFmtId="0" fontId="17" fillId="0" borderId="28" xfId="0" applyFont="1" applyBorder="1" applyAlignment="1">
      <alignment vertical="center" wrapText="1"/>
    </xf>
    <xf numFmtId="0" fontId="17" fillId="0" borderId="29" xfId="0" applyFont="1" applyBorder="1" applyAlignment="1">
      <alignment vertical="center" wrapText="1"/>
    </xf>
    <xf numFmtId="0" fontId="17" fillId="0" borderId="30" xfId="0" applyFont="1" applyBorder="1" applyAlignment="1">
      <alignment horizontal="center" vertical="center" wrapText="1"/>
    </xf>
    <xf numFmtId="0" fontId="6" fillId="0" borderId="30" xfId="0" applyFont="1" applyBorder="1" applyAlignment="1">
      <alignment horizontal="center" vertical="center"/>
    </xf>
    <xf numFmtId="0" fontId="3" fillId="0" borderId="30" xfId="0" applyFont="1" applyBorder="1" applyAlignment="1">
      <alignment horizontal="center" vertical="center"/>
    </xf>
    <xf numFmtId="0" fontId="6" fillId="0" borderId="21" xfId="0" applyFont="1" applyBorder="1" applyAlignment="1">
      <alignment horizontal="center" vertical="center" wrapText="1"/>
    </xf>
    <xf numFmtId="3" fontId="6" fillId="0" borderId="16" xfId="0" applyNumberFormat="1" applyFont="1" applyFill="1" applyBorder="1" applyAlignment="1">
      <alignment vertical="center"/>
    </xf>
    <xf numFmtId="49" fontId="17" fillId="0" borderId="31" xfId="0" applyNumberFormat="1" applyFont="1" applyFill="1" applyBorder="1" applyAlignment="1">
      <alignment horizontal="center" vertical="center" wrapText="1"/>
    </xf>
    <xf numFmtId="2" fontId="6" fillId="0" borderId="31" xfId="0" applyNumberFormat="1" applyFont="1" applyFill="1" applyBorder="1" applyAlignment="1">
      <alignment horizontal="center" vertical="center"/>
    </xf>
    <xf numFmtId="49" fontId="3" fillId="0" borderId="31" xfId="0" applyNumberFormat="1" applyFont="1" applyFill="1" applyBorder="1" applyAlignment="1">
      <alignment horizontal="left" vertical="center" wrapText="1"/>
    </xf>
    <xf numFmtId="0" fontId="6" fillId="0" borderId="31" xfId="0" applyFont="1" applyFill="1" applyBorder="1" applyAlignment="1">
      <alignment horizontal="center" vertical="center"/>
    </xf>
    <xf numFmtId="3" fontId="6" fillId="0" borderId="32" xfId="0" applyNumberFormat="1" applyFont="1" applyFill="1" applyBorder="1" applyAlignment="1">
      <alignment horizontal="right" vertical="center"/>
    </xf>
    <xf numFmtId="1" fontId="10" fillId="0" borderId="10" xfId="0" applyNumberFormat="1" applyFont="1" applyBorder="1" applyAlignment="1">
      <alignment vertical="center"/>
    </xf>
    <xf numFmtId="0" fontId="24" fillId="0" borderId="10" xfId="0" applyNumberFormat="1" applyFont="1" applyBorder="1" applyAlignment="1">
      <alignment horizontal="center" vertical="center" wrapText="1"/>
    </xf>
    <xf numFmtId="3" fontId="10" fillId="0" borderId="10" xfId="0" applyNumberFormat="1" applyFont="1" applyBorder="1" applyAlignment="1">
      <alignment/>
    </xf>
    <xf numFmtId="0" fontId="10" fillId="0" borderId="0" xfId="0" applyFont="1" applyAlignment="1">
      <alignment/>
    </xf>
    <xf numFmtId="0" fontId="10" fillId="0" borderId="0" xfId="0" applyFont="1" applyFill="1" applyAlignment="1">
      <alignment/>
    </xf>
    <xf numFmtId="0" fontId="14" fillId="6" borderId="12" xfId="0" applyFont="1" applyFill="1" applyBorder="1" applyAlignment="1">
      <alignment horizontal="center" vertical="center" wrapText="1"/>
    </xf>
    <xf numFmtId="166" fontId="3" fillId="0" borderId="0" xfId="0" applyNumberFormat="1" applyFont="1" applyAlignment="1">
      <alignment/>
    </xf>
    <xf numFmtId="3" fontId="7" fillId="9" borderId="10" xfId="0" applyNumberFormat="1" applyFont="1" applyFill="1" applyBorder="1" applyAlignment="1">
      <alignment/>
    </xf>
    <xf numFmtId="0" fontId="6" fillId="6" borderId="13"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2" fillId="0" borderId="0" xfId="0" applyNumberFormat="1" applyFont="1" applyAlignment="1">
      <alignment horizontal="center" vertical="center" wrapText="1"/>
    </xf>
    <xf numFmtId="4" fontId="2" fillId="9" borderId="10" xfId="0" applyNumberFormat="1" applyFont="1" applyFill="1" applyBorder="1" applyAlignment="1">
      <alignment/>
    </xf>
    <xf numFmtId="0" fontId="4" fillId="0" borderId="11" xfId="0" applyFont="1" applyFill="1" applyBorder="1" applyAlignment="1">
      <alignment horizontal="center" vertical="center" wrapText="1"/>
    </xf>
    <xf numFmtId="4" fontId="3" fillId="0" borderId="10" xfId="54" applyNumberFormat="1" applyFont="1" applyFill="1" applyBorder="1">
      <alignment/>
      <protection/>
    </xf>
    <xf numFmtId="0" fontId="2" fillId="0" borderId="33" xfId="0" applyFont="1" applyFill="1" applyBorder="1" applyAlignment="1">
      <alignment/>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4" fontId="6" fillId="0" borderId="0" xfId="0" applyNumberFormat="1" applyFont="1" applyAlignment="1">
      <alignment/>
    </xf>
    <xf numFmtId="0" fontId="17" fillId="0" borderId="15"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36" xfId="0" applyFont="1" applyBorder="1" applyAlignment="1">
      <alignment horizontal="center"/>
    </xf>
    <xf numFmtId="0" fontId="6" fillId="0" borderId="10" xfId="0" applyFont="1" applyBorder="1" applyAlignment="1">
      <alignment/>
    </xf>
    <xf numFmtId="0" fontId="7" fillId="0" borderId="10" xfId="0" applyFont="1" applyBorder="1" applyAlignment="1">
      <alignment/>
    </xf>
    <xf numFmtId="9" fontId="17" fillId="0" borderId="15" xfId="0" applyNumberFormat="1" applyFont="1" applyFill="1" applyBorder="1" applyAlignment="1">
      <alignment horizontal="center" vertical="center" wrapText="1"/>
    </xf>
    <xf numFmtId="9" fontId="17" fillId="0" borderId="10" xfId="0" applyNumberFormat="1" applyFont="1" applyFill="1" applyBorder="1" applyAlignment="1">
      <alignment horizontal="center" vertical="center" wrapText="1"/>
    </xf>
    <xf numFmtId="9" fontId="17" fillId="0" borderId="16" xfId="0" applyNumberFormat="1" applyFont="1" applyFill="1" applyBorder="1" applyAlignment="1">
      <alignment horizontal="center" vertical="center" wrapText="1"/>
    </xf>
    <xf numFmtId="0" fontId="17" fillId="0" borderId="35" xfId="0" applyFont="1" applyFill="1" applyBorder="1" applyAlignment="1">
      <alignment horizontal="center" vertical="center" wrapText="1"/>
    </xf>
    <xf numFmtId="4" fontId="14" fillId="0" borderId="37" xfId="0" applyNumberFormat="1" applyFont="1" applyFill="1" applyBorder="1" applyAlignment="1">
      <alignment/>
    </xf>
    <xf numFmtId="9" fontId="17" fillId="0" borderId="13" xfId="0" applyNumberFormat="1" applyFont="1" applyBorder="1" applyAlignment="1">
      <alignment horizontal="center" vertical="center" wrapText="1"/>
    </xf>
    <xf numFmtId="49" fontId="65" fillId="0" borderId="10" xfId="0" applyNumberFormat="1" applyFont="1" applyFill="1" applyBorder="1" applyAlignment="1">
      <alignment horizontal="left" vertical="center" wrapText="1"/>
    </xf>
    <xf numFmtId="0" fontId="3" fillId="9" borderId="10" xfId="0" applyFont="1" applyFill="1" applyBorder="1" applyAlignment="1">
      <alignment horizontal="center" vertical="center" wrapText="1"/>
    </xf>
    <xf numFmtId="0" fontId="17"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5" xfId="0" applyFont="1" applyBorder="1" applyAlignment="1">
      <alignment horizontal="center" vertical="center" wrapText="1"/>
    </xf>
    <xf numFmtId="0" fontId="6" fillId="3" borderId="13" xfId="0" applyFont="1" applyFill="1" applyBorder="1" applyAlignment="1">
      <alignment horizontal="center" vertical="center" wrapText="1"/>
    </xf>
    <xf numFmtId="0" fontId="6"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34" borderId="10" xfId="0" applyFont="1" applyFill="1" applyBorder="1" applyAlignment="1">
      <alignment horizontal="center" vertical="center" wrapText="1"/>
    </xf>
    <xf numFmtId="3" fontId="3" fillId="34" borderId="10" xfId="0" applyNumberFormat="1" applyFont="1" applyFill="1" applyBorder="1" applyAlignment="1">
      <alignment/>
    </xf>
    <xf numFmtId="3" fontId="3" fillId="34" borderId="10" xfId="0" applyNumberFormat="1" applyFont="1" applyFill="1" applyBorder="1" applyAlignment="1">
      <alignment/>
    </xf>
    <xf numFmtId="3" fontId="2" fillId="34" borderId="10" xfId="0" applyNumberFormat="1" applyFont="1" applyFill="1" applyBorder="1" applyAlignment="1">
      <alignment/>
    </xf>
    <xf numFmtId="0" fontId="3" fillId="34" borderId="10" xfId="0" applyFont="1" applyFill="1" applyBorder="1" applyAlignment="1">
      <alignment horizontal="center" vertical="center" wrapText="1"/>
    </xf>
    <xf numFmtId="0" fontId="3" fillId="34" borderId="10" xfId="0" applyFont="1" applyFill="1" applyBorder="1" applyAlignment="1">
      <alignment/>
    </xf>
    <xf numFmtId="166" fontId="3" fillId="34" borderId="10" xfId="0" applyNumberFormat="1" applyFont="1" applyFill="1" applyBorder="1" applyAlignment="1">
      <alignment/>
    </xf>
    <xf numFmtId="166" fontId="2" fillId="35" borderId="10" xfId="0" applyNumberFormat="1" applyFont="1" applyFill="1" applyBorder="1" applyAlignment="1">
      <alignment/>
    </xf>
    <xf numFmtId="1" fontId="3" fillId="34" borderId="10" xfId="0" applyNumberFormat="1" applyFont="1" applyFill="1" applyBorder="1" applyAlignment="1">
      <alignment/>
    </xf>
    <xf numFmtId="9" fontId="17" fillId="0" borderId="12" xfId="0" applyNumberFormat="1" applyFont="1" applyBorder="1" applyAlignment="1">
      <alignment horizontal="center" vertical="center" wrapText="1"/>
    </xf>
    <xf numFmtId="3" fontId="17" fillId="0" borderId="0" xfId="0" applyNumberFormat="1" applyFont="1" applyFill="1" applyBorder="1" applyAlignment="1">
      <alignment vertical="center"/>
    </xf>
    <xf numFmtId="0" fontId="3" fillId="0" borderId="0" xfId="0" applyFont="1" applyFill="1" applyAlignment="1">
      <alignment horizontal="center"/>
    </xf>
    <xf numFmtId="0" fontId="3" fillId="34" borderId="12" xfId="0" applyFont="1" applyFill="1" applyBorder="1" applyAlignment="1">
      <alignment horizontal="center" vertical="center" wrapText="1"/>
    </xf>
    <xf numFmtId="49" fontId="3" fillId="34" borderId="10" xfId="0" applyNumberFormat="1" applyFont="1" applyFill="1" applyBorder="1" applyAlignment="1">
      <alignment horizontal="center" vertical="center" wrapText="1"/>
    </xf>
    <xf numFmtId="3" fontId="3" fillId="34" borderId="10" xfId="0" applyNumberFormat="1" applyFont="1" applyFill="1" applyBorder="1" applyAlignment="1">
      <alignment horizontal="right"/>
    </xf>
    <xf numFmtId="3" fontId="3" fillId="34" borderId="10" xfId="0" applyNumberFormat="1" applyFont="1" applyFill="1" applyBorder="1" applyAlignment="1">
      <alignment horizontal="right" vertical="center" wrapText="1"/>
    </xf>
    <xf numFmtId="166" fontId="3" fillId="34" borderId="10" xfId="0" applyNumberFormat="1" applyFont="1" applyFill="1" applyBorder="1" applyAlignment="1">
      <alignment horizontal="right"/>
    </xf>
    <xf numFmtId="166" fontId="3" fillId="34" borderId="10" xfId="0" applyNumberFormat="1" applyFont="1" applyFill="1" applyBorder="1" applyAlignment="1">
      <alignment horizontal="right" vertical="center" wrapText="1"/>
    </xf>
    <xf numFmtId="167" fontId="3" fillId="34" borderId="10" xfId="0" applyNumberFormat="1" applyFont="1" applyFill="1" applyBorder="1" applyAlignment="1">
      <alignment/>
    </xf>
    <xf numFmtId="3" fontId="2" fillId="34" borderId="10" xfId="0" applyNumberFormat="1" applyFont="1" applyFill="1" applyBorder="1" applyAlignment="1">
      <alignment horizontal="center"/>
    </xf>
    <xf numFmtId="0" fontId="17" fillId="35" borderId="0" xfId="0" applyFont="1" applyFill="1" applyAlignment="1">
      <alignment/>
    </xf>
    <xf numFmtId="0" fontId="17" fillId="34" borderId="15" xfId="0" applyFont="1" applyFill="1" applyBorder="1" applyAlignment="1">
      <alignment horizontal="center" vertical="center" wrapText="1"/>
    </xf>
    <xf numFmtId="0" fontId="17" fillId="34" borderId="10" xfId="0" applyFont="1" applyFill="1" applyBorder="1" applyAlignment="1">
      <alignment horizontal="center" vertical="center" wrapText="1"/>
    </xf>
    <xf numFmtId="0" fontId="17" fillId="34" borderId="16" xfId="0" applyFont="1" applyFill="1" applyBorder="1" applyAlignment="1">
      <alignment horizontal="center" vertical="center" wrapText="1"/>
    </xf>
    <xf numFmtId="9" fontId="17" fillId="34" borderId="34" xfId="0" applyNumberFormat="1" applyFont="1" applyFill="1" applyBorder="1" applyAlignment="1">
      <alignment horizontal="center" vertical="center" wrapText="1"/>
    </xf>
    <xf numFmtId="9" fontId="17" fillId="34" borderId="38" xfId="0" applyNumberFormat="1" applyFont="1" applyFill="1" applyBorder="1" applyAlignment="1">
      <alignment horizontal="center" vertical="center" wrapText="1"/>
    </xf>
    <xf numFmtId="9" fontId="17" fillId="34" borderId="35" xfId="0" applyNumberFormat="1" applyFont="1" applyFill="1" applyBorder="1" applyAlignment="1">
      <alignment horizontal="center" vertical="center" wrapText="1"/>
    </xf>
    <xf numFmtId="3" fontId="17" fillId="34" borderId="15" xfId="0" applyNumberFormat="1" applyFont="1" applyFill="1" applyBorder="1" applyAlignment="1">
      <alignment vertical="center"/>
    </xf>
    <xf numFmtId="3" fontId="17" fillId="34" borderId="10" xfId="0" applyNumberFormat="1" applyFont="1" applyFill="1" applyBorder="1" applyAlignment="1">
      <alignment vertical="center"/>
    </xf>
    <xf numFmtId="3" fontId="17" fillId="34" borderId="16" xfId="0" applyNumberFormat="1" applyFont="1" applyFill="1" applyBorder="1" applyAlignment="1">
      <alignment vertical="center"/>
    </xf>
    <xf numFmtId="3" fontId="17" fillId="34" borderId="39" xfId="0" applyNumberFormat="1" applyFont="1" applyFill="1" applyBorder="1" applyAlignment="1">
      <alignment vertical="center"/>
    </xf>
    <xf numFmtId="3" fontId="17" fillId="34" borderId="11" xfId="0" applyNumberFormat="1" applyFont="1" applyFill="1" applyBorder="1" applyAlignment="1">
      <alignment vertical="center"/>
    </xf>
    <xf numFmtId="3" fontId="17" fillId="34" borderId="40" xfId="0" applyNumberFormat="1" applyFont="1" applyFill="1" applyBorder="1" applyAlignment="1">
      <alignment vertical="center"/>
    </xf>
    <xf numFmtId="3" fontId="14" fillId="34" borderId="28" xfId="0" applyNumberFormat="1" applyFont="1" applyFill="1" applyBorder="1" applyAlignment="1">
      <alignment vertical="center"/>
    </xf>
    <xf numFmtId="3" fontId="14" fillId="34" borderId="41" xfId="0" applyNumberFormat="1" applyFont="1" applyFill="1" applyBorder="1" applyAlignment="1">
      <alignment vertical="center"/>
    </xf>
    <xf numFmtId="3" fontId="14" fillId="34" borderId="29" xfId="0" applyNumberFormat="1" applyFont="1" applyFill="1" applyBorder="1" applyAlignment="1">
      <alignment vertical="center"/>
    </xf>
    <xf numFmtId="9" fontId="17" fillId="34" borderId="15" xfId="0" applyNumberFormat="1" applyFont="1" applyFill="1" applyBorder="1" applyAlignment="1">
      <alignment horizontal="center" vertical="center" wrapText="1"/>
    </xf>
    <xf numFmtId="9" fontId="17" fillId="34" borderId="16" xfId="0" applyNumberFormat="1"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xf>
    <xf numFmtId="0" fontId="7" fillId="34" borderId="10" xfId="0" applyFont="1" applyFill="1" applyBorder="1" applyAlignment="1">
      <alignment/>
    </xf>
    <xf numFmtId="0" fontId="7"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0" xfId="0" applyFont="1" applyAlignment="1">
      <alignment/>
    </xf>
    <xf numFmtId="3" fontId="6" fillId="34" borderId="10" xfId="0" applyNumberFormat="1" applyFont="1" applyFill="1" applyBorder="1" applyAlignment="1">
      <alignment/>
    </xf>
    <xf numFmtId="49" fontId="6" fillId="34" borderId="10" xfId="33" applyNumberFormat="1" applyFont="1" applyFill="1" applyBorder="1" applyAlignment="1" applyProtection="1">
      <alignment horizontal="center" vertical="center" wrapText="1"/>
      <protection/>
    </xf>
    <xf numFmtId="49" fontId="6" fillId="34" borderId="10" xfId="33" applyNumberFormat="1" applyFont="1" applyFill="1" applyBorder="1" applyAlignment="1">
      <alignment horizontal="center" vertical="center" wrapText="1"/>
      <protection/>
    </xf>
    <xf numFmtId="3" fontId="6" fillId="34" borderId="15" xfId="33" applyNumberFormat="1" applyFont="1" applyFill="1" applyBorder="1" applyAlignment="1" applyProtection="1">
      <alignment/>
      <protection/>
    </xf>
    <xf numFmtId="3" fontId="7" fillId="34" borderId="10" xfId="0" applyNumberFormat="1" applyFont="1" applyFill="1" applyBorder="1" applyAlignment="1">
      <alignment/>
    </xf>
    <xf numFmtId="0" fontId="6" fillId="34" borderId="11" xfId="0" applyFont="1" applyFill="1" applyBorder="1" applyAlignment="1">
      <alignment horizontal="center" vertical="center" wrapText="1"/>
    </xf>
    <xf numFmtId="3" fontId="6" fillId="34" borderId="10" xfId="33" applyNumberFormat="1" applyFont="1" applyFill="1" applyBorder="1" applyAlignment="1" applyProtection="1">
      <alignment/>
      <protection/>
    </xf>
    <xf numFmtId="0" fontId="7" fillId="0" borderId="0" xfId="0" applyFont="1" applyAlignment="1">
      <alignment horizontal="center"/>
    </xf>
    <xf numFmtId="0" fontId="6" fillId="7" borderId="10" xfId="0" applyFont="1" applyFill="1" applyBorder="1" applyAlignment="1">
      <alignment horizontal="center" vertical="center" wrapText="1"/>
    </xf>
    <xf numFmtId="0" fontId="6" fillId="7" borderId="10" xfId="0" applyFont="1" applyFill="1" applyBorder="1" applyAlignment="1">
      <alignment/>
    </xf>
    <xf numFmtId="0" fontId="6" fillId="0" borderId="10" xfId="0" applyFont="1" applyFill="1" applyBorder="1" applyAlignment="1">
      <alignment/>
    </xf>
    <xf numFmtId="168" fontId="6" fillId="0" borderId="10" xfId="0" applyNumberFormat="1" applyFont="1" applyFill="1" applyBorder="1" applyAlignment="1">
      <alignment/>
    </xf>
    <xf numFmtId="0" fontId="6" fillId="36" borderId="10" xfId="0" applyFont="1" applyFill="1" applyBorder="1" applyAlignment="1">
      <alignment horizontal="center" vertical="center" wrapText="1"/>
    </xf>
    <xf numFmtId="0" fontId="6" fillId="36" borderId="10" xfId="0" applyFont="1" applyFill="1" applyBorder="1" applyAlignment="1">
      <alignment/>
    </xf>
    <xf numFmtId="0" fontId="7" fillId="0" borderId="0" xfId="0" applyFont="1" applyFill="1" applyAlignment="1">
      <alignment/>
    </xf>
    <xf numFmtId="2" fontId="6" fillId="36" borderId="10" xfId="0" applyNumberFormat="1" applyFont="1" applyFill="1" applyBorder="1" applyAlignment="1">
      <alignment/>
    </xf>
    <xf numFmtId="4" fontId="7" fillId="36" borderId="10" xfId="0" applyNumberFormat="1" applyFont="1" applyFill="1" applyBorder="1" applyAlignment="1">
      <alignment/>
    </xf>
    <xf numFmtId="4" fontId="6" fillId="0" borderId="10" xfId="0" applyNumberFormat="1" applyFont="1" applyBorder="1" applyAlignment="1">
      <alignment/>
    </xf>
    <xf numFmtId="4" fontId="6" fillId="34" borderId="10" xfId="0" applyNumberFormat="1" applyFont="1" applyFill="1" applyBorder="1" applyAlignment="1">
      <alignment/>
    </xf>
    <xf numFmtId="4" fontId="6" fillId="36" borderId="10" xfId="0" applyNumberFormat="1" applyFont="1" applyFill="1" applyBorder="1" applyAlignment="1">
      <alignment horizontal="right"/>
    </xf>
    <xf numFmtId="2" fontId="6" fillId="0" borderId="10" xfId="0" applyNumberFormat="1" applyFont="1" applyFill="1" applyBorder="1" applyAlignment="1">
      <alignment/>
    </xf>
    <xf numFmtId="4" fontId="6" fillId="0" borderId="10" xfId="0" applyNumberFormat="1" applyFont="1" applyFill="1" applyBorder="1" applyAlignment="1">
      <alignment/>
    </xf>
    <xf numFmtId="164" fontId="6" fillId="36" borderId="10" xfId="0" applyNumberFormat="1" applyFont="1" applyFill="1" applyBorder="1" applyAlignment="1">
      <alignment/>
    </xf>
    <xf numFmtId="167" fontId="6" fillId="34" borderId="10" xfId="0" applyNumberFormat="1" applyFont="1" applyFill="1" applyBorder="1" applyAlignment="1">
      <alignment/>
    </xf>
    <xf numFmtId="167" fontId="6" fillId="7" borderId="10" xfId="0" applyNumberFormat="1" applyFont="1" applyFill="1" applyBorder="1" applyAlignment="1">
      <alignment/>
    </xf>
    <xf numFmtId="164" fontId="6" fillId="34" borderId="10" xfId="0" applyNumberFormat="1" applyFont="1" applyFill="1" applyBorder="1" applyAlignment="1">
      <alignment/>
    </xf>
    <xf numFmtId="3" fontId="7" fillId="0" borderId="10" xfId="0" applyNumberFormat="1" applyFont="1" applyBorder="1" applyAlignment="1">
      <alignment/>
    </xf>
    <xf numFmtId="49" fontId="6" fillId="0" borderId="10" xfId="33" applyNumberFormat="1" applyFont="1" applyFill="1" applyBorder="1" applyAlignment="1" applyProtection="1">
      <alignment horizontal="center" vertical="center" wrapText="1"/>
      <protection/>
    </xf>
    <xf numFmtId="49" fontId="6" fillId="0" borderId="10" xfId="33" applyNumberFormat="1" applyFont="1" applyFill="1" applyBorder="1" applyAlignment="1">
      <alignment horizontal="center" vertical="center" wrapText="1"/>
      <protection/>
    </xf>
    <xf numFmtId="0" fontId="6" fillId="0" borderId="12" xfId="0" applyFont="1" applyFill="1" applyBorder="1" applyAlignment="1">
      <alignment/>
    </xf>
    <xf numFmtId="3" fontId="6" fillId="0" borderId="10" xfId="33" applyNumberFormat="1" applyFont="1" applyFill="1" applyBorder="1" applyAlignment="1" applyProtection="1">
      <alignment/>
      <protection/>
    </xf>
    <xf numFmtId="3" fontId="7" fillId="0" borderId="10" xfId="0" applyNumberFormat="1" applyFont="1" applyFill="1" applyBorder="1" applyAlignment="1">
      <alignment/>
    </xf>
    <xf numFmtId="4" fontId="7" fillId="34" borderId="10" xfId="0" applyNumberFormat="1" applyFont="1" applyFill="1" applyBorder="1" applyAlignment="1">
      <alignment/>
    </xf>
    <xf numFmtId="164" fontId="6" fillId="34" borderId="10" xfId="0" applyNumberFormat="1" applyFont="1" applyFill="1" applyBorder="1" applyAlignment="1">
      <alignment horizontal="right"/>
    </xf>
    <xf numFmtId="0" fontId="6" fillId="0" borderId="0" xfId="0" applyFont="1" applyBorder="1" applyAlignment="1">
      <alignment horizontal="left"/>
    </xf>
    <xf numFmtId="169" fontId="7" fillId="0" borderId="10" xfId="0" applyNumberFormat="1" applyFont="1" applyBorder="1" applyAlignment="1">
      <alignment/>
    </xf>
    <xf numFmtId="0" fontId="6" fillId="0" borderId="10" xfId="0" applyFont="1" applyBorder="1" applyAlignment="1">
      <alignment horizontal="right" vertical="center" wrapText="1"/>
    </xf>
    <xf numFmtId="169" fontId="6" fillId="0" borderId="10" xfId="53" applyNumberFormat="1" applyFont="1" applyFill="1" applyBorder="1" applyAlignment="1" applyProtection="1">
      <alignment horizontal="right" wrapText="1"/>
      <protection hidden="1"/>
    </xf>
    <xf numFmtId="49" fontId="6" fillId="34" borderId="10" xfId="0" applyNumberFormat="1" applyFont="1" applyFill="1" applyBorder="1" applyAlignment="1">
      <alignment horizontal="center" vertical="center" wrapText="1"/>
    </xf>
    <xf numFmtId="0" fontId="6" fillId="0" borderId="10" xfId="0" applyFont="1" applyBorder="1" applyAlignment="1">
      <alignment horizontal="right"/>
    </xf>
    <xf numFmtId="0" fontId="7" fillId="0" borderId="10" xfId="0" applyFont="1" applyBorder="1" applyAlignment="1">
      <alignment horizontal="right"/>
    </xf>
    <xf numFmtId="3" fontId="6" fillId="0" borderId="10" xfId="0" applyNumberFormat="1" applyFont="1" applyBorder="1" applyAlignment="1">
      <alignment horizontal="right"/>
    </xf>
    <xf numFmtId="3" fontId="7" fillId="0" borderId="10" xfId="0" applyNumberFormat="1" applyFont="1" applyBorder="1" applyAlignment="1">
      <alignment horizontal="right"/>
    </xf>
    <xf numFmtId="3" fontId="6" fillId="0" borderId="10" xfId="0" applyNumberFormat="1" applyFont="1" applyBorder="1" applyAlignment="1">
      <alignment wrapText="1"/>
    </xf>
    <xf numFmtId="3" fontId="6" fillId="0" borderId="10" xfId="0" applyNumberFormat="1" applyFont="1" applyFill="1" applyBorder="1" applyAlignment="1">
      <alignment wrapText="1"/>
    </xf>
    <xf numFmtId="3" fontId="6" fillId="0" borderId="10" xfId="0" applyNumberFormat="1" applyFont="1" applyFill="1" applyBorder="1" applyAlignment="1">
      <alignment horizontal="right"/>
    </xf>
    <xf numFmtId="0" fontId="6" fillId="0" borderId="10" xfId="0" applyFont="1" applyFill="1" applyBorder="1" applyAlignment="1">
      <alignment horizontal="right"/>
    </xf>
    <xf numFmtId="0" fontId="6" fillId="13" borderId="10" xfId="0" applyFont="1" applyFill="1" applyBorder="1" applyAlignment="1">
      <alignment horizontal="center" vertical="center" wrapText="1"/>
    </xf>
    <xf numFmtId="3" fontId="6" fillId="13" borderId="10" xfId="0" applyNumberFormat="1" applyFont="1" applyFill="1" applyBorder="1" applyAlignment="1">
      <alignment horizontal="right" vertical="center"/>
    </xf>
    <xf numFmtId="3" fontId="7" fillId="13" borderId="10" xfId="0" applyNumberFormat="1" applyFont="1" applyFill="1" applyBorder="1" applyAlignment="1">
      <alignment/>
    </xf>
    <xf numFmtId="0" fontId="7" fillId="13" borderId="10" xfId="0" applyFont="1" applyFill="1" applyBorder="1" applyAlignment="1">
      <alignment/>
    </xf>
    <xf numFmtId="4" fontId="17" fillId="0" borderId="15" xfId="0" applyNumberFormat="1" applyFont="1" applyFill="1" applyBorder="1" applyAlignment="1">
      <alignment vertical="center" wrapText="1"/>
    </xf>
    <xf numFmtId="4" fontId="17" fillId="0" borderId="39" xfId="0" applyNumberFormat="1" applyFont="1" applyFill="1" applyBorder="1" applyAlignment="1">
      <alignment vertical="center" wrapText="1"/>
    </xf>
    <xf numFmtId="4" fontId="17" fillId="0" borderId="16" xfId="0" applyNumberFormat="1" applyFont="1" applyFill="1" applyBorder="1" applyAlignment="1">
      <alignment vertical="center" wrapText="1"/>
    </xf>
    <xf numFmtId="4" fontId="17" fillId="0" borderId="40" xfId="0" applyNumberFormat="1" applyFont="1" applyFill="1" applyBorder="1" applyAlignment="1">
      <alignment vertical="center" wrapText="1"/>
    </xf>
    <xf numFmtId="0" fontId="17" fillId="0" borderId="17" xfId="0" applyFont="1" applyFill="1" applyBorder="1" applyAlignment="1">
      <alignment vertical="center" wrapText="1"/>
    </xf>
    <xf numFmtId="0" fontId="17" fillId="0" borderId="25" xfId="0" applyFont="1" applyFill="1" applyBorder="1" applyAlignment="1">
      <alignment vertical="center" wrapText="1"/>
    </xf>
    <xf numFmtId="3" fontId="17" fillId="0" borderId="13" xfId="0" applyNumberFormat="1" applyFont="1" applyFill="1" applyBorder="1" applyAlignment="1">
      <alignment vertical="center"/>
    </xf>
    <xf numFmtId="3" fontId="17" fillId="0" borderId="10" xfId="0" applyNumberFormat="1" applyFont="1" applyFill="1" applyBorder="1" applyAlignment="1">
      <alignment vertical="center"/>
    </xf>
    <xf numFmtId="4" fontId="14" fillId="0" borderId="42" xfId="0" applyNumberFormat="1" applyFont="1" applyFill="1" applyBorder="1" applyAlignment="1">
      <alignment/>
    </xf>
    <xf numFmtId="4" fontId="14" fillId="0" borderId="29" xfId="0" applyNumberFormat="1" applyFont="1" applyFill="1" applyBorder="1" applyAlignment="1">
      <alignment/>
    </xf>
    <xf numFmtId="4" fontId="14" fillId="0" borderId="28" xfId="0" applyNumberFormat="1" applyFont="1" applyFill="1" applyBorder="1" applyAlignment="1">
      <alignment/>
    </xf>
    <xf numFmtId="4" fontId="17" fillId="0" borderId="15" xfId="0" applyNumberFormat="1" applyFont="1" applyFill="1" applyBorder="1" applyAlignment="1">
      <alignment/>
    </xf>
    <xf numFmtId="4" fontId="17" fillId="0" borderId="10" xfId="0" applyNumberFormat="1" applyFont="1" applyFill="1" applyBorder="1" applyAlignment="1">
      <alignment/>
    </xf>
    <xf numFmtId="4" fontId="17" fillId="0" borderId="16" xfId="0" applyNumberFormat="1" applyFont="1" applyFill="1" applyBorder="1" applyAlignment="1">
      <alignment/>
    </xf>
    <xf numFmtId="3" fontId="17" fillId="0" borderId="15" xfId="0" applyNumberFormat="1" applyFont="1" applyFill="1" applyBorder="1" applyAlignment="1">
      <alignment vertical="center"/>
    </xf>
    <xf numFmtId="3" fontId="17" fillId="0" borderId="16" xfId="0" applyNumberFormat="1" applyFont="1" applyFill="1" applyBorder="1" applyAlignment="1">
      <alignment vertical="center"/>
    </xf>
    <xf numFmtId="3" fontId="17" fillId="0" borderId="12" xfId="0" applyNumberFormat="1" applyFont="1" applyFill="1" applyBorder="1" applyAlignment="1">
      <alignment vertical="center"/>
    </xf>
    <xf numFmtId="4" fontId="17" fillId="0" borderId="39" xfId="0" applyNumberFormat="1" applyFont="1" applyFill="1" applyBorder="1" applyAlignment="1">
      <alignment/>
    </xf>
    <xf numFmtId="4" fontId="17" fillId="0" borderId="11" xfId="0" applyNumberFormat="1" applyFont="1" applyFill="1" applyBorder="1" applyAlignment="1">
      <alignment/>
    </xf>
    <xf numFmtId="4" fontId="17" fillId="0" borderId="40" xfId="0" applyNumberFormat="1" applyFont="1" applyFill="1" applyBorder="1" applyAlignment="1">
      <alignment/>
    </xf>
    <xf numFmtId="4" fontId="14" fillId="0" borderId="41" xfId="0" applyNumberFormat="1" applyFont="1" applyFill="1" applyBorder="1" applyAlignment="1">
      <alignment/>
    </xf>
    <xf numFmtId="4" fontId="14" fillId="0" borderId="43" xfId="0" applyNumberFormat="1" applyFont="1" applyFill="1" applyBorder="1" applyAlignment="1">
      <alignment/>
    </xf>
    <xf numFmtId="3" fontId="17" fillId="0" borderId="15" xfId="33" applyNumberFormat="1" applyFont="1" applyFill="1" applyBorder="1" applyAlignment="1" applyProtection="1">
      <alignment/>
      <protection/>
    </xf>
    <xf numFmtId="3" fontId="17" fillId="0" borderId="16" xfId="57" applyNumberFormat="1" applyFont="1" applyFill="1" applyBorder="1" applyAlignment="1">
      <alignment/>
      <protection/>
    </xf>
    <xf numFmtId="3" fontId="14" fillId="0" borderId="28" xfId="0" applyNumberFormat="1" applyFont="1" applyFill="1" applyBorder="1" applyAlignment="1">
      <alignment/>
    </xf>
    <xf numFmtId="3" fontId="14" fillId="0" borderId="29" xfId="0" applyNumberFormat="1" applyFont="1" applyFill="1" applyBorder="1" applyAlignment="1">
      <alignment/>
    </xf>
    <xf numFmtId="0" fontId="23" fillId="34" borderId="10" xfId="0" applyFont="1" applyFill="1" applyBorder="1" applyAlignment="1">
      <alignment/>
    </xf>
    <xf numFmtId="3" fontId="23" fillId="34" borderId="10" xfId="0" applyNumberFormat="1" applyFont="1" applyFill="1" applyBorder="1" applyAlignment="1">
      <alignment horizontal="center"/>
    </xf>
    <xf numFmtId="3" fontId="7" fillId="0" borderId="0" xfId="0" applyNumberFormat="1" applyFont="1" applyFill="1" applyBorder="1" applyAlignment="1">
      <alignment horizontal="center"/>
    </xf>
    <xf numFmtId="0" fontId="6" fillId="34" borderId="10" xfId="0" applyFont="1" applyFill="1" applyBorder="1" applyAlignment="1">
      <alignment horizontal="right"/>
    </xf>
    <xf numFmtId="3" fontId="6" fillId="9" borderId="16" xfId="0" applyNumberFormat="1" applyFont="1" applyFill="1" applyBorder="1" applyAlignment="1">
      <alignment vertical="center"/>
    </xf>
    <xf numFmtId="49" fontId="6" fillId="13" borderId="10" xfId="0" applyNumberFormat="1" applyFont="1" applyFill="1" applyBorder="1" applyAlignment="1">
      <alignment horizontal="center" vertical="center" wrapText="1"/>
    </xf>
    <xf numFmtId="169" fontId="6" fillId="37" borderId="10" xfId="53" applyNumberFormat="1" applyFont="1" applyFill="1" applyBorder="1" applyAlignment="1" applyProtection="1">
      <alignment horizontal="right" wrapText="1"/>
      <protection hidden="1"/>
    </xf>
    <xf numFmtId="3" fontId="6" fillId="37" borderId="16" xfId="0" applyNumberFormat="1" applyFont="1" applyFill="1" applyBorder="1" applyAlignment="1">
      <alignment vertical="center"/>
    </xf>
    <xf numFmtId="0" fontId="17" fillId="0" borderId="35" xfId="0" applyFont="1" applyBorder="1" applyAlignment="1">
      <alignment horizontal="center" vertical="center" wrapText="1"/>
    </xf>
    <xf numFmtId="4" fontId="30" fillId="0" borderId="0" xfId="0" applyNumberFormat="1" applyFont="1" applyAlignment="1">
      <alignment/>
    </xf>
    <xf numFmtId="0" fontId="31" fillId="0" borderId="0" xfId="0" applyFont="1" applyAlignment="1">
      <alignment/>
    </xf>
    <xf numFmtId="0" fontId="7" fillId="0" borderId="33" xfId="0" applyFont="1" applyBorder="1" applyAlignment="1">
      <alignment/>
    </xf>
    <xf numFmtId="4" fontId="0" fillId="0" borderId="10" xfId="0" applyNumberFormat="1" applyBorder="1" applyAlignment="1">
      <alignment/>
    </xf>
    <xf numFmtId="0" fontId="17" fillId="0" borderId="44"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46" xfId="0" applyFont="1" applyBorder="1" applyAlignment="1">
      <alignment horizontal="center" vertical="center" wrapText="1"/>
    </xf>
    <xf numFmtId="49" fontId="6" fillId="0" borderId="47" xfId="0" applyNumberFormat="1" applyFont="1" applyFill="1" applyBorder="1" applyAlignment="1">
      <alignment horizontal="left" vertical="center" wrapText="1"/>
    </xf>
    <xf numFmtId="49" fontId="6" fillId="0" borderId="31" xfId="0" applyNumberFormat="1" applyFont="1" applyFill="1" applyBorder="1" applyAlignment="1">
      <alignment horizontal="left" vertical="center" wrapText="1"/>
    </xf>
    <xf numFmtId="0" fontId="17" fillId="0" borderId="20" xfId="0" applyFont="1" applyBorder="1" applyAlignment="1">
      <alignment horizontal="center"/>
    </xf>
    <xf numFmtId="0" fontId="17" fillId="0" borderId="30" xfId="0" applyFont="1" applyBorder="1" applyAlignment="1">
      <alignment horizontal="center"/>
    </xf>
    <xf numFmtId="49" fontId="17" fillId="34" borderId="48" xfId="0" applyNumberFormat="1" applyFont="1" applyFill="1" applyBorder="1" applyAlignment="1">
      <alignment horizontal="center"/>
    </xf>
    <xf numFmtId="49" fontId="17" fillId="34" borderId="36" xfId="0" applyNumberFormat="1" applyFont="1" applyFill="1" applyBorder="1" applyAlignment="1">
      <alignment horizontal="center"/>
    </xf>
    <xf numFmtId="49" fontId="17" fillId="0" borderId="38" xfId="0" applyNumberFormat="1" applyFont="1" applyFill="1" applyBorder="1" applyAlignment="1">
      <alignment horizontal="center" vertical="center" wrapText="1"/>
    </xf>
    <xf numFmtId="49" fontId="17" fillId="0" borderId="34" xfId="0" applyNumberFormat="1" applyFont="1" applyFill="1" applyBorder="1" applyAlignment="1">
      <alignment horizontal="center" vertical="center" wrapText="1"/>
    </xf>
    <xf numFmtId="49" fontId="17" fillId="0" borderId="35" xfId="0" applyNumberFormat="1" applyFont="1" applyFill="1" applyBorder="1" applyAlignment="1">
      <alignment horizontal="center" vertical="center" wrapText="1"/>
    </xf>
    <xf numFmtId="0" fontId="17" fillId="0" borderId="38"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48" xfId="0" applyFont="1" applyBorder="1" applyAlignment="1">
      <alignment horizontal="center"/>
    </xf>
    <xf numFmtId="0" fontId="17" fillId="0" borderId="36" xfId="0" applyFont="1" applyBorder="1" applyAlignment="1">
      <alignment horizontal="center"/>
    </xf>
    <xf numFmtId="0" fontId="17" fillId="0" borderId="24"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50" xfId="0" applyFont="1" applyBorder="1" applyAlignment="1">
      <alignment horizontal="center"/>
    </xf>
    <xf numFmtId="0" fontId="17" fillId="0" borderId="51"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54"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40"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17" fillId="0" borderId="25" xfId="0" applyFont="1" applyBorder="1" applyAlignment="1">
      <alignment horizontal="center" vertical="center" wrapText="1"/>
    </xf>
    <xf numFmtId="0" fontId="17" fillId="0" borderId="39" xfId="0" applyFont="1" applyFill="1" applyBorder="1" applyAlignment="1">
      <alignment horizontal="center" vertical="center" wrapText="1"/>
    </xf>
    <xf numFmtId="0" fontId="17" fillId="0" borderId="54" xfId="0" applyFont="1" applyFill="1" applyBorder="1" applyAlignment="1">
      <alignment horizontal="center" vertical="center" wrapText="1"/>
    </xf>
    <xf numFmtId="0" fontId="17" fillId="0" borderId="56" xfId="0" applyFont="1" applyBorder="1" applyAlignment="1">
      <alignment horizontal="center" vertical="center" wrapText="1"/>
    </xf>
    <xf numFmtId="0" fontId="17" fillId="0" borderId="57" xfId="0" applyFont="1" applyBorder="1" applyAlignment="1">
      <alignment horizontal="center" vertical="center" wrapText="1"/>
    </xf>
    <xf numFmtId="0" fontId="17" fillId="34" borderId="46" xfId="0" applyFont="1" applyFill="1" applyBorder="1" applyAlignment="1">
      <alignment horizontal="center" vertical="center" wrapText="1"/>
    </xf>
    <xf numFmtId="0" fontId="17" fillId="34" borderId="45" xfId="0" applyFont="1" applyFill="1" applyBorder="1" applyAlignment="1">
      <alignment horizontal="center" vertical="center" wrapText="1"/>
    </xf>
    <xf numFmtId="0" fontId="17" fillId="34" borderId="34" xfId="0" applyFont="1" applyFill="1" applyBorder="1" applyAlignment="1">
      <alignment horizontal="center" vertical="center" wrapText="1"/>
    </xf>
    <xf numFmtId="0" fontId="17" fillId="34" borderId="35" xfId="0" applyFont="1" applyFill="1" applyBorder="1" applyAlignment="1">
      <alignment horizontal="center" vertical="center" wrapText="1"/>
    </xf>
    <xf numFmtId="49" fontId="17" fillId="34" borderId="34" xfId="0" applyNumberFormat="1" applyFont="1" applyFill="1" applyBorder="1" applyAlignment="1">
      <alignment horizontal="center" vertical="center" wrapText="1"/>
    </xf>
    <xf numFmtId="49" fontId="17" fillId="34" borderId="35" xfId="0" applyNumberFormat="1" applyFont="1" applyFill="1" applyBorder="1" applyAlignment="1">
      <alignment horizontal="center" vertical="center" wrapText="1"/>
    </xf>
    <xf numFmtId="0" fontId="23" fillId="0" borderId="0" xfId="0" applyFont="1" applyAlignment="1">
      <alignment horizontal="center"/>
    </xf>
    <xf numFmtId="49" fontId="6" fillId="0" borderId="15"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center" wrapText="1"/>
    </xf>
    <xf numFmtId="0" fontId="17" fillId="0" borderId="23" xfId="0" applyFont="1" applyBorder="1" applyAlignment="1">
      <alignment horizontal="center" vertical="center" wrapText="1"/>
    </xf>
    <xf numFmtId="49" fontId="17" fillId="34" borderId="50" xfId="0" applyNumberFormat="1" applyFont="1" applyFill="1" applyBorder="1" applyAlignment="1">
      <alignment horizontal="center"/>
    </xf>
    <xf numFmtId="0" fontId="17" fillId="34" borderId="38" xfId="0" applyFont="1" applyFill="1" applyBorder="1" applyAlignment="1">
      <alignment horizontal="center" vertical="center" wrapText="1"/>
    </xf>
    <xf numFmtId="49" fontId="17" fillId="34" borderId="38" xfId="0" applyNumberFormat="1" applyFont="1" applyFill="1" applyBorder="1" applyAlignment="1">
      <alignment horizontal="center" vertical="center" wrapText="1"/>
    </xf>
    <xf numFmtId="0" fontId="7" fillId="0" borderId="0" xfId="0" applyFont="1" applyAlignment="1">
      <alignment horizontal="center"/>
    </xf>
    <xf numFmtId="0" fontId="66" fillId="0" borderId="44" xfId="0" applyFont="1" applyBorder="1" applyAlignment="1">
      <alignment horizontal="center"/>
    </xf>
    <xf numFmtId="0" fontId="6" fillId="13" borderId="12" xfId="0" applyFont="1" applyFill="1" applyBorder="1" applyAlignment="1">
      <alignment horizontal="center" vertical="center" wrapText="1"/>
    </xf>
    <xf numFmtId="0" fontId="6" fillId="13" borderId="38" xfId="0" applyFont="1" applyFill="1" applyBorder="1" applyAlignment="1">
      <alignment horizontal="center" vertical="center" wrapText="1"/>
    </xf>
    <xf numFmtId="0" fontId="6" fillId="13" borderId="13" xfId="0" applyFont="1" applyFill="1" applyBorder="1" applyAlignment="1">
      <alignment horizontal="center" vertical="center" wrapText="1"/>
    </xf>
    <xf numFmtId="164" fontId="6" fillId="0" borderId="11" xfId="0" applyNumberFormat="1" applyFont="1" applyBorder="1" applyAlignment="1">
      <alignment horizontal="center" vertical="center"/>
    </xf>
    <xf numFmtId="164" fontId="6" fillId="0" borderId="58" xfId="0" applyNumberFormat="1" applyFont="1" applyBorder="1" applyAlignment="1">
      <alignment horizontal="center" vertical="center"/>
    </xf>
    <xf numFmtId="164" fontId="6" fillId="0" borderId="33" xfId="0" applyNumberFormat="1" applyFont="1" applyBorder="1" applyAlignment="1">
      <alignment horizontal="center" vertical="center"/>
    </xf>
    <xf numFmtId="0" fontId="6" fillId="0" borderId="10" xfId="0" applyFont="1" applyBorder="1" applyAlignment="1">
      <alignment horizontal="left"/>
    </xf>
    <xf numFmtId="164" fontId="6" fillId="13" borderId="11" xfId="0" applyNumberFormat="1" applyFont="1" applyFill="1" applyBorder="1" applyAlignment="1">
      <alignment horizontal="center" vertical="center"/>
    </xf>
    <xf numFmtId="164" fontId="6" fillId="13" borderId="58" xfId="0" applyNumberFormat="1" applyFont="1" applyFill="1" applyBorder="1" applyAlignment="1">
      <alignment horizontal="center" vertical="center"/>
    </xf>
    <xf numFmtId="164" fontId="6" fillId="13" borderId="33" xfId="0" applyNumberFormat="1" applyFont="1" applyFill="1" applyBorder="1" applyAlignment="1">
      <alignment horizontal="center" vertical="center"/>
    </xf>
    <xf numFmtId="0" fontId="3" fillId="34" borderId="10" xfId="0" applyFont="1" applyFill="1" applyBorder="1" applyAlignment="1">
      <alignment horizontal="center" vertical="center" wrapText="1"/>
    </xf>
    <xf numFmtId="0" fontId="65" fillId="0" borderId="44" xfId="0" applyFont="1" applyBorder="1" applyAlignment="1">
      <alignment horizontal="center" vertical="center" wrapText="1"/>
    </xf>
    <xf numFmtId="3" fontId="3" fillId="34" borderId="11" xfId="0" applyNumberFormat="1" applyFont="1" applyFill="1" applyBorder="1" applyAlignment="1">
      <alignment horizontal="center" vertical="center"/>
    </xf>
    <xf numFmtId="3" fontId="3" fillId="34" borderId="58" xfId="0" applyNumberFormat="1" applyFont="1" applyFill="1" applyBorder="1" applyAlignment="1">
      <alignment horizontal="center" vertical="center"/>
    </xf>
    <xf numFmtId="3" fontId="3" fillId="34" borderId="33" xfId="0" applyNumberFormat="1" applyFont="1" applyFill="1" applyBorder="1" applyAlignment="1">
      <alignment horizontal="center" vertical="center"/>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33" xfId="0" applyFont="1" applyBorder="1" applyAlignment="1">
      <alignment horizontal="center" vertical="center" wrapText="1"/>
    </xf>
    <xf numFmtId="3" fontId="3" fillId="34" borderId="10" xfId="0" applyNumberFormat="1"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33" xfId="0" applyFont="1" applyFill="1" applyBorder="1" applyAlignment="1">
      <alignment horizontal="center" vertical="center" wrapText="1"/>
    </xf>
    <xf numFmtId="2" fontId="6" fillId="0" borderId="11" xfId="0" applyNumberFormat="1" applyFont="1" applyFill="1" applyBorder="1" applyAlignment="1">
      <alignment horizontal="center" vertical="center"/>
    </xf>
    <xf numFmtId="2" fontId="6" fillId="0" borderId="58" xfId="0" applyNumberFormat="1" applyFont="1" applyFill="1" applyBorder="1" applyAlignment="1">
      <alignment horizontal="center" vertical="center"/>
    </xf>
    <xf numFmtId="2" fontId="6" fillId="0" borderId="33" xfId="0" applyNumberFormat="1" applyFont="1" applyFill="1" applyBorder="1" applyAlignment="1">
      <alignment horizontal="center" vertical="center"/>
    </xf>
    <xf numFmtId="0" fontId="6" fillId="0" borderId="10" xfId="0" applyFont="1" applyBorder="1" applyAlignment="1">
      <alignment horizontal="center" vertical="center" wrapText="1"/>
    </xf>
    <xf numFmtId="0" fontId="6" fillId="34" borderId="12" xfId="0" applyFont="1" applyFill="1" applyBorder="1" applyAlignment="1">
      <alignment horizontal="center" vertical="center" wrapText="1"/>
    </xf>
    <xf numFmtId="0" fontId="6" fillId="34" borderId="13" xfId="0" applyFont="1" applyFill="1" applyBorder="1" applyAlignment="1">
      <alignment horizontal="center" vertical="center" wrapText="1"/>
    </xf>
    <xf numFmtId="168" fontId="6" fillId="34" borderId="11" xfId="0" applyNumberFormat="1" applyFont="1" applyFill="1" applyBorder="1" applyAlignment="1">
      <alignment horizontal="center" vertical="center" wrapText="1"/>
    </xf>
    <xf numFmtId="168" fontId="6" fillId="34" borderId="58" xfId="0" applyNumberFormat="1" applyFont="1" applyFill="1" applyBorder="1" applyAlignment="1">
      <alignment horizontal="center" vertical="center" wrapText="1"/>
    </xf>
    <xf numFmtId="168" fontId="6" fillId="34" borderId="33" xfId="0" applyNumberFormat="1"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33" xfId="0" applyFont="1" applyFill="1" applyBorder="1" applyAlignment="1">
      <alignment horizontal="center" vertical="center"/>
    </xf>
    <xf numFmtId="49" fontId="6" fillId="0" borderId="11" xfId="33" applyNumberFormat="1" applyFont="1" applyFill="1" applyBorder="1" applyAlignment="1">
      <alignment horizontal="center" vertical="center" wrapText="1"/>
      <protection/>
    </xf>
    <xf numFmtId="49" fontId="6" fillId="0" borderId="33" xfId="33" applyNumberFormat="1" applyFont="1" applyFill="1" applyBorder="1" applyAlignment="1">
      <alignment horizontal="center" vertical="center" wrapText="1"/>
      <protection/>
    </xf>
    <xf numFmtId="0" fontId="14" fillId="0" borderId="0" xfId="0" applyNumberFormat="1" applyFont="1" applyAlignment="1">
      <alignment horizontal="center" vertical="center" wrapText="1"/>
    </xf>
    <xf numFmtId="0" fontId="6" fillId="3" borderId="12" xfId="0" applyNumberFormat="1" applyFont="1" applyFill="1" applyBorder="1" applyAlignment="1">
      <alignment horizontal="left" vertical="center" wrapText="1"/>
    </xf>
    <xf numFmtId="0" fontId="6" fillId="3" borderId="38" xfId="0" applyNumberFormat="1" applyFont="1" applyFill="1" applyBorder="1" applyAlignment="1">
      <alignment horizontal="left" vertical="center" wrapText="1"/>
    </xf>
    <xf numFmtId="0" fontId="6" fillId="3" borderId="13" xfId="0" applyNumberFormat="1" applyFont="1" applyFill="1" applyBorder="1" applyAlignment="1">
      <alignment horizontal="left" vertical="center" wrapText="1"/>
    </xf>
    <xf numFmtId="49" fontId="6" fillId="0" borderId="24" xfId="0" applyNumberFormat="1" applyFont="1" applyBorder="1" applyAlignment="1">
      <alignment horizontal="left" vertical="center" wrapText="1"/>
    </xf>
    <xf numFmtId="49" fontId="6" fillId="0" borderId="59" xfId="0" applyNumberFormat="1" applyFont="1" applyBorder="1" applyAlignment="1">
      <alignment horizontal="left" vertical="center" wrapText="1"/>
    </xf>
    <xf numFmtId="49" fontId="6" fillId="0" borderId="14" xfId="0" applyNumberFormat="1" applyFont="1" applyBorder="1" applyAlignment="1">
      <alignment horizontal="left" vertical="center" wrapText="1"/>
    </xf>
    <xf numFmtId="49" fontId="6" fillId="0" borderId="49" xfId="0" applyNumberFormat="1" applyFont="1" applyBorder="1" applyAlignment="1">
      <alignment horizontal="left" vertical="center" wrapText="1"/>
    </xf>
    <xf numFmtId="49" fontId="6" fillId="0" borderId="44" xfId="0" applyNumberFormat="1" applyFont="1" applyBorder="1" applyAlignment="1">
      <alignment horizontal="left" vertical="center" wrapText="1"/>
    </xf>
    <xf numFmtId="49" fontId="6" fillId="0" borderId="60" xfId="0" applyNumberFormat="1" applyFont="1" applyBorder="1" applyAlignment="1">
      <alignment horizontal="left" vertical="center" wrapText="1"/>
    </xf>
    <xf numFmtId="0" fontId="6" fillId="0" borderId="12" xfId="0" applyNumberFormat="1" applyFont="1" applyBorder="1" applyAlignment="1">
      <alignment horizontal="left" vertical="center" wrapText="1"/>
    </xf>
    <xf numFmtId="0" fontId="6" fillId="0" borderId="38" xfId="0" applyNumberFormat="1" applyFont="1" applyBorder="1" applyAlignment="1">
      <alignment horizontal="left" vertical="center" wrapText="1"/>
    </xf>
    <xf numFmtId="0" fontId="6" fillId="0" borderId="13" xfId="0" applyNumberFormat="1" applyFont="1" applyBorder="1" applyAlignment="1">
      <alignment horizontal="left" vertical="center" wrapText="1"/>
    </xf>
    <xf numFmtId="0" fontId="2" fillId="0" borderId="44"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38"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7" fillId="9" borderId="12" xfId="0" applyNumberFormat="1" applyFont="1" applyFill="1" applyBorder="1" applyAlignment="1">
      <alignment horizontal="left" vertical="center" wrapText="1"/>
    </xf>
    <xf numFmtId="0" fontId="7" fillId="9" borderId="38" xfId="0" applyNumberFormat="1" applyFont="1" applyFill="1" applyBorder="1" applyAlignment="1">
      <alignment horizontal="left" vertical="center" wrapText="1"/>
    </xf>
    <xf numFmtId="0" fontId="7" fillId="9" borderId="13" xfId="0" applyNumberFormat="1" applyFont="1" applyFill="1" applyBorder="1" applyAlignment="1">
      <alignment horizontal="left" vertical="center" wrapText="1"/>
    </xf>
    <xf numFmtId="49" fontId="10" fillId="0" borderId="44" xfId="0" applyNumberFormat="1" applyFont="1" applyBorder="1" applyAlignment="1">
      <alignment horizontal="left" vertical="center" wrapText="1"/>
    </xf>
    <xf numFmtId="0" fontId="2" fillId="0" borderId="0" xfId="0" applyNumberFormat="1" applyFont="1" applyAlignment="1">
      <alignment horizontal="center" vertical="center" wrapText="1"/>
    </xf>
    <xf numFmtId="0" fontId="6" fillId="0" borderId="24" xfId="0" applyNumberFormat="1" applyFont="1" applyBorder="1" applyAlignment="1">
      <alignment horizontal="left" vertical="center" wrapText="1"/>
    </xf>
    <xf numFmtId="0" fontId="6" fillId="0" borderId="59" xfId="0" applyNumberFormat="1" applyFont="1" applyBorder="1" applyAlignment="1">
      <alignment horizontal="left" vertical="center" wrapText="1"/>
    </xf>
    <xf numFmtId="0" fontId="6" fillId="0" borderId="14" xfId="0" applyNumberFormat="1" applyFont="1" applyBorder="1" applyAlignment="1">
      <alignment horizontal="left" vertical="center" wrapText="1"/>
    </xf>
    <xf numFmtId="0" fontId="6" fillId="0" borderId="61" xfId="0" applyNumberFormat="1" applyFont="1" applyBorder="1" applyAlignment="1">
      <alignment horizontal="left" vertical="center" wrapText="1"/>
    </xf>
    <xf numFmtId="0" fontId="6" fillId="0" borderId="0" xfId="0" applyNumberFormat="1" applyFont="1" applyBorder="1" applyAlignment="1">
      <alignment horizontal="left" vertical="center" wrapText="1"/>
    </xf>
    <xf numFmtId="0" fontId="6" fillId="0" borderId="62" xfId="0" applyNumberFormat="1" applyFont="1" applyBorder="1" applyAlignment="1">
      <alignment horizontal="left" vertical="center" wrapText="1"/>
    </xf>
    <xf numFmtId="0" fontId="6" fillId="0" borderId="49" xfId="0" applyNumberFormat="1" applyFont="1" applyBorder="1" applyAlignment="1">
      <alignment horizontal="left" vertical="center" wrapText="1"/>
    </xf>
    <xf numFmtId="0" fontId="6" fillId="0" borderId="44" xfId="0" applyNumberFormat="1" applyFont="1" applyBorder="1" applyAlignment="1">
      <alignment horizontal="left" vertical="center" wrapText="1"/>
    </xf>
    <xf numFmtId="0" fontId="6" fillId="0" borderId="60" xfId="0" applyNumberFormat="1" applyFont="1" applyBorder="1" applyAlignment="1">
      <alignment horizontal="left" vertical="center" wrapText="1"/>
    </xf>
    <xf numFmtId="0" fontId="10" fillId="0" borderId="12" xfId="0" applyNumberFormat="1" applyFont="1" applyBorder="1" applyAlignment="1">
      <alignment horizontal="center" vertical="center" wrapText="1"/>
    </xf>
    <xf numFmtId="0" fontId="10" fillId="0" borderId="38"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0" fontId="6" fillId="0" borderId="12" xfId="0" applyNumberFormat="1" applyFont="1" applyBorder="1" applyAlignment="1">
      <alignment vertical="center" wrapText="1"/>
    </xf>
    <xf numFmtId="0" fontId="6" fillId="0" borderId="38" xfId="0" applyNumberFormat="1" applyFont="1" applyBorder="1" applyAlignment="1">
      <alignment vertical="center" wrapText="1"/>
    </xf>
    <xf numFmtId="0" fontId="6" fillId="0" borderId="13" xfId="0" applyNumberFormat="1" applyFont="1" applyBorder="1" applyAlignment="1">
      <alignment vertical="center" wrapText="1"/>
    </xf>
    <xf numFmtId="0" fontId="3" fillId="0" borderId="12"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3" fillId="9" borderId="38" xfId="0" applyFont="1" applyFill="1" applyBorder="1" applyAlignment="1">
      <alignment horizontal="center" vertical="center" wrapText="1"/>
    </xf>
    <xf numFmtId="0" fontId="3" fillId="9" borderId="13"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38"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38" xfId="0" applyFont="1" applyFill="1" applyBorder="1" applyAlignment="1">
      <alignment horizontal="center" vertical="center" wrapText="1"/>
    </xf>
    <xf numFmtId="0" fontId="6" fillId="3" borderId="13" xfId="0" applyFont="1" applyFill="1" applyBorder="1" applyAlignment="1">
      <alignment horizontal="center" vertical="center" wrapText="1"/>
    </xf>
    <xf numFmtId="3" fontId="3" fillId="6" borderId="11" xfId="0" applyNumberFormat="1" applyFont="1" applyFill="1" applyBorder="1" applyAlignment="1">
      <alignment horizontal="center" vertical="center"/>
    </xf>
    <xf numFmtId="3" fontId="3" fillId="6" borderId="58" xfId="0" applyNumberFormat="1" applyFont="1" applyFill="1" applyBorder="1" applyAlignment="1">
      <alignment horizontal="center" vertical="center"/>
    </xf>
    <xf numFmtId="3" fontId="3" fillId="6" borderId="33" xfId="0" applyNumberFormat="1" applyFont="1" applyFill="1" applyBorder="1" applyAlignment="1">
      <alignment horizontal="center" vertical="center"/>
    </xf>
    <xf numFmtId="14" fontId="3" fillId="0" borderId="12" xfId="0" applyNumberFormat="1" applyFont="1" applyFill="1" applyBorder="1" applyAlignment="1">
      <alignment horizontal="center" vertical="center" wrapText="1"/>
    </xf>
    <xf numFmtId="14" fontId="3" fillId="0" borderId="38"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64" fontId="3" fillId="0" borderId="11" xfId="0" applyNumberFormat="1" applyFont="1" applyFill="1" applyBorder="1" applyAlignment="1">
      <alignment horizontal="center" vertical="center"/>
    </xf>
    <xf numFmtId="164" fontId="3" fillId="0" borderId="58" xfId="0" applyNumberFormat="1" applyFont="1" applyFill="1" applyBorder="1" applyAlignment="1">
      <alignment horizontal="center" vertical="center"/>
    </xf>
    <xf numFmtId="164" fontId="3" fillId="0" borderId="33" xfId="0" applyNumberFormat="1" applyFont="1" applyFill="1" applyBorder="1" applyAlignment="1">
      <alignment horizontal="center" vertical="center"/>
    </xf>
    <xf numFmtId="166" fontId="3" fillId="3" borderId="11" xfId="0" applyNumberFormat="1" applyFont="1" applyFill="1" applyBorder="1" applyAlignment="1">
      <alignment horizontal="center" vertical="center"/>
    </xf>
    <xf numFmtId="166" fontId="3" fillId="3" borderId="58" xfId="0" applyNumberFormat="1" applyFont="1" applyFill="1" applyBorder="1" applyAlignment="1">
      <alignment horizontal="center" vertical="center"/>
    </xf>
    <xf numFmtId="166" fontId="3" fillId="3" borderId="33" xfId="0" applyNumberFormat="1" applyFont="1" applyFill="1" applyBorder="1" applyAlignment="1">
      <alignment horizontal="center" vertical="center"/>
    </xf>
    <xf numFmtId="3" fontId="3" fillId="6" borderId="11" xfId="0" applyNumberFormat="1" applyFont="1" applyFill="1" applyBorder="1" applyAlignment="1">
      <alignment horizontal="center" vertical="center" wrapText="1"/>
    </xf>
    <xf numFmtId="3" fontId="3" fillId="6" borderId="58" xfId="0" applyNumberFormat="1" applyFont="1" applyFill="1" applyBorder="1" applyAlignment="1">
      <alignment horizontal="center" vertical="center" wrapText="1"/>
    </xf>
    <xf numFmtId="3" fontId="3" fillId="6" borderId="33" xfId="0" applyNumberFormat="1" applyFont="1" applyFill="1" applyBorder="1" applyAlignment="1">
      <alignment horizontal="center" vertical="center" wrapText="1"/>
    </xf>
    <xf numFmtId="166" fontId="3" fillId="6" borderId="11" xfId="0" applyNumberFormat="1" applyFont="1" applyFill="1" applyBorder="1" applyAlignment="1">
      <alignment horizontal="center" vertical="center"/>
    </xf>
    <xf numFmtId="166" fontId="3" fillId="6" borderId="58" xfId="0" applyNumberFormat="1" applyFont="1" applyFill="1" applyBorder="1" applyAlignment="1">
      <alignment horizontal="center" vertical="center"/>
    </xf>
    <xf numFmtId="166" fontId="3" fillId="6" borderId="33" xfId="0" applyNumberFormat="1" applyFont="1" applyFill="1" applyBorder="1" applyAlignment="1">
      <alignment horizontal="center" vertical="center"/>
    </xf>
    <xf numFmtId="165" fontId="3" fillId="0" borderId="11" xfId="0" applyNumberFormat="1" applyFont="1" applyBorder="1" applyAlignment="1">
      <alignment horizontal="center" vertical="center"/>
    </xf>
    <xf numFmtId="165" fontId="3" fillId="0" borderId="58" xfId="0" applyNumberFormat="1" applyFont="1" applyBorder="1" applyAlignment="1">
      <alignment horizontal="center" vertical="center"/>
    </xf>
    <xf numFmtId="165" fontId="3" fillId="0" borderId="33" xfId="0" applyNumberFormat="1" applyFont="1" applyBorder="1" applyAlignment="1">
      <alignment horizontal="center" vertical="center"/>
    </xf>
    <xf numFmtId="3" fontId="3" fillId="3" borderId="11" xfId="0" applyNumberFormat="1" applyFont="1" applyFill="1" applyBorder="1" applyAlignment="1">
      <alignment horizontal="center" vertical="center"/>
    </xf>
    <xf numFmtId="3" fontId="3" fillId="3" borderId="58" xfId="0" applyNumberFormat="1" applyFont="1" applyFill="1" applyBorder="1" applyAlignment="1">
      <alignment horizontal="center" vertical="center"/>
    </xf>
    <xf numFmtId="3" fontId="3" fillId="3" borderId="33" xfId="0" applyNumberFormat="1" applyFont="1" applyFill="1" applyBorder="1" applyAlignment="1">
      <alignment horizontal="center" vertical="center"/>
    </xf>
    <xf numFmtId="4" fontId="3" fillId="0" borderId="11" xfId="0" applyNumberFormat="1" applyFont="1" applyFill="1" applyBorder="1" applyAlignment="1">
      <alignment horizontal="center" vertical="center"/>
    </xf>
    <xf numFmtId="4" fontId="3" fillId="0" borderId="58" xfId="0" applyNumberFormat="1" applyFont="1" applyFill="1" applyBorder="1" applyAlignment="1">
      <alignment horizontal="center" vertical="center"/>
    </xf>
    <xf numFmtId="4" fontId="3" fillId="0" borderId="33" xfId="0" applyNumberFormat="1" applyFont="1" applyFill="1" applyBorder="1" applyAlignment="1">
      <alignment horizontal="center" vertical="center"/>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ФФПМР_ИБР_Ставрополь_2006 4"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_Данные 2010"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Тысячи [0]_Лист1" xfId="64"/>
    <cellStyle name="Тысячи_Лист1"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AL39"/>
  <sheetViews>
    <sheetView zoomScale="80" zoomScaleNormal="80" zoomScalePageLayoutView="0" workbookViewId="0" topLeftCell="A13">
      <pane xSplit="1" topLeftCell="B1" activePane="topRight" state="frozen"/>
      <selection pane="topLeft" activeCell="A1" sqref="A1"/>
      <selection pane="topRight" activeCell="K30" sqref="K30"/>
    </sheetView>
  </sheetViews>
  <sheetFormatPr defaultColWidth="9.00390625" defaultRowHeight="12.75"/>
  <cols>
    <col min="1" max="1" width="18.375" style="73" customWidth="1"/>
    <col min="2" max="2" width="15.875" style="73" customWidth="1"/>
    <col min="3" max="3" width="16.375" style="73" customWidth="1"/>
    <col min="4" max="4" width="16.75390625" style="73" customWidth="1"/>
    <col min="5" max="5" width="17.625" style="73" customWidth="1"/>
    <col min="6" max="6" width="16.125" style="73" customWidth="1"/>
    <col min="7" max="7" width="15.875" style="73" customWidth="1"/>
    <col min="8" max="8" width="15.625" style="73" customWidth="1"/>
    <col min="9" max="9" width="17.875" style="73" customWidth="1"/>
    <col min="10" max="10" width="15.375" style="73" customWidth="1"/>
    <col min="11" max="11" width="14.25390625" style="73" customWidth="1"/>
    <col min="12" max="12" width="15.875" style="73" customWidth="1"/>
    <col min="13" max="13" width="17.75390625" style="73" customWidth="1"/>
    <col min="14" max="14" width="16.375" style="73" customWidth="1"/>
    <col min="15" max="15" width="14.75390625" style="73" customWidth="1"/>
    <col min="16" max="16" width="16.125" style="73" customWidth="1"/>
    <col min="17" max="17" width="15.875" style="73" customWidth="1"/>
    <col min="18" max="21" width="15.375" style="73" customWidth="1"/>
    <col min="22" max="22" width="15.75390625" style="73" customWidth="1"/>
    <col min="23" max="23" width="18.375" style="73" customWidth="1"/>
    <col min="24" max="24" width="17.625" style="73" customWidth="1"/>
    <col min="25" max="25" width="18.375" style="73" customWidth="1"/>
    <col min="26" max="26" width="15.75390625" style="73" customWidth="1"/>
    <col min="27" max="27" width="18.375" style="73" customWidth="1"/>
    <col min="28" max="28" width="15.75390625" style="73" customWidth="1"/>
    <col min="29" max="29" width="18.375" style="73" customWidth="1"/>
    <col min="30" max="30" width="24.375" style="73" customWidth="1"/>
    <col min="31" max="31" width="31.00390625" style="73" customWidth="1"/>
    <col min="32" max="33" width="30.75390625" style="73" customWidth="1"/>
    <col min="34" max="34" width="25.25390625" style="73" customWidth="1"/>
    <col min="35" max="35" width="25.00390625" style="73" customWidth="1"/>
    <col min="36" max="36" width="20.25390625" style="73" customWidth="1"/>
    <col min="37" max="37" width="21.25390625" style="73" customWidth="1"/>
    <col min="38" max="38" width="19.00390625" style="73" customWidth="1"/>
    <col min="39" max="16384" width="9.125" style="73" customWidth="1"/>
  </cols>
  <sheetData>
    <row r="2" spans="3:5" s="16" customFormat="1" ht="18" customHeight="1">
      <c r="C2" s="90" t="s">
        <v>465</v>
      </c>
      <c r="E2" s="1"/>
    </row>
    <row r="3" ht="16.5" thickBot="1"/>
    <row r="4" spans="1:38" ht="15.75">
      <c r="A4" s="73" t="s">
        <v>238</v>
      </c>
      <c r="B4" s="346">
        <v>1</v>
      </c>
      <c r="C4" s="347"/>
      <c r="D4" s="173">
        <v>2</v>
      </c>
      <c r="E4" s="346">
        <v>3</v>
      </c>
      <c r="F4" s="350"/>
      <c r="G4" s="350"/>
      <c r="H4" s="350"/>
      <c r="I4" s="347"/>
      <c r="J4" s="346">
        <v>4</v>
      </c>
      <c r="K4" s="350"/>
      <c r="L4" s="347"/>
      <c r="M4" s="346">
        <v>5</v>
      </c>
      <c r="N4" s="350"/>
      <c r="O4" s="347"/>
      <c r="P4" s="350">
        <v>6</v>
      </c>
      <c r="Q4" s="350"/>
      <c r="R4" s="350"/>
      <c r="S4" s="333" t="s">
        <v>328</v>
      </c>
      <c r="T4" s="375"/>
      <c r="U4" s="334"/>
      <c r="V4" s="350">
        <v>7</v>
      </c>
      <c r="W4" s="347"/>
      <c r="X4" s="346">
        <v>8</v>
      </c>
      <c r="Y4" s="347"/>
      <c r="Z4" s="346">
        <v>9</v>
      </c>
      <c r="AA4" s="347"/>
      <c r="AB4" s="333" t="s">
        <v>332</v>
      </c>
      <c r="AC4" s="334"/>
      <c r="AD4" s="121">
        <v>10</v>
      </c>
      <c r="AE4" s="121">
        <v>11</v>
      </c>
      <c r="AF4" s="126">
        <v>12</v>
      </c>
      <c r="AG4" s="127">
        <v>13</v>
      </c>
      <c r="AH4" s="346">
        <v>14</v>
      </c>
      <c r="AI4" s="347"/>
      <c r="AJ4" s="121">
        <v>15</v>
      </c>
      <c r="AK4" s="121">
        <v>16</v>
      </c>
      <c r="AL4" s="121">
        <v>17</v>
      </c>
    </row>
    <row r="5" spans="1:38" s="54" customFormat="1" ht="103.5" customHeight="1">
      <c r="A5" s="348"/>
      <c r="B5" s="355" t="s">
        <v>62</v>
      </c>
      <c r="C5" s="351" t="s">
        <v>164</v>
      </c>
      <c r="D5" s="374" t="s">
        <v>54</v>
      </c>
      <c r="E5" s="356" t="s">
        <v>157</v>
      </c>
      <c r="F5" s="357"/>
      <c r="G5" s="357"/>
      <c r="H5" s="357"/>
      <c r="I5" s="352"/>
      <c r="J5" s="356" t="s">
        <v>159</v>
      </c>
      <c r="K5" s="357"/>
      <c r="L5" s="352"/>
      <c r="M5" s="356" t="s">
        <v>282</v>
      </c>
      <c r="N5" s="357"/>
      <c r="O5" s="352"/>
      <c r="P5" s="326" t="s">
        <v>160</v>
      </c>
      <c r="Q5" s="326"/>
      <c r="R5" s="326"/>
      <c r="S5" s="367" t="s">
        <v>329</v>
      </c>
      <c r="T5" s="376"/>
      <c r="U5" s="368"/>
      <c r="V5" s="326" t="s">
        <v>158</v>
      </c>
      <c r="W5" s="327"/>
      <c r="X5" s="328" t="s">
        <v>284</v>
      </c>
      <c r="Y5" s="327"/>
      <c r="Z5" s="328" t="s">
        <v>285</v>
      </c>
      <c r="AA5" s="327"/>
      <c r="AB5" s="365" t="s">
        <v>285</v>
      </c>
      <c r="AC5" s="366"/>
      <c r="AD5" s="353" t="s">
        <v>161</v>
      </c>
      <c r="AE5" s="353" t="s">
        <v>258</v>
      </c>
      <c r="AF5" s="355" t="s">
        <v>162</v>
      </c>
      <c r="AG5" s="351" t="s">
        <v>120</v>
      </c>
      <c r="AH5" s="355" t="s">
        <v>163</v>
      </c>
      <c r="AI5" s="351" t="s">
        <v>122</v>
      </c>
      <c r="AJ5" s="353" t="s">
        <v>287</v>
      </c>
      <c r="AK5" s="353" t="s">
        <v>128</v>
      </c>
      <c r="AL5" s="353" t="s">
        <v>165</v>
      </c>
    </row>
    <row r="6" spans="1:38" s="54" customFormat="1" ht="156" customHeight="1">
      <c r="A6" s="349"/>
      <c r="B6" s="356"/>
      <c r="C6" s="352"/>
      <c r="D6" s="327"/>
      <c r="E6" s="116" t="s">
        <v>250</v>
      </c>
      <c r="F6" s="72" t="s">
        <v>251</v>
      </c>
      <c r="G6" s="169" t="s">
        <v>252</v>
      </c>
      <c r="H6" s="169" t="s">
        <v>6</v>
      </c>
      <c r="I6" s="117" t="s">
        <v>61</v>
      </c>
      <c r="J6" s="168" t="s">
        <v>251</v>
      </c>
      <c r="K6" s="169" t="s">
        <v>252</v>
      </c>
      <c r="L6" s="170" t="s">
        <v>6</v>
      </c>
      <c r="M6" s="187" t="s">
        <v>251</v>
      </c>
      <c r="N6" s="185" t="s">
        <v>252</v>
      </c>
      <c r="O6" s="186" t="s">
        <v>6</v>
      </c>
      <c r="P6" s="184" t="s">
        <v>251</v>
      </c>
      <c r="Q6" s="185" t="s">
        <v>252</v>
      </c>
      <c r="R6" s="185" t="s">
        <v>6</v>
      </c>
      <c r="S6" s="212" t="s">
        <v>251</v>
      </c>
      <c r="T6" s="213" t="s">
        <v>252</v>
      </c>
      <c r="U6" s="214" t="s">
        <v>6</v>
      </c>
      <c r="V6" s="184" t="s">
        <v>250</v>
      </c>
      <c r="W6" s="117" t="s">
        <v>61</v>
      </c>
      <c r="X6" s="116" t="s">
        <v>250</v>
      </c>
      <c r="Y6" s="117" t="s">
        <v>61</v>
      </c>
      <c r="Z6" s="187" t="s">
        <v>250</v>
      </c>
      <c r="AA6" s="186" t="s">
        <v>61</v>
      </c>
      <c r="AB6" s="212" t="s">
        <v>250</v>
      </c>
      <c r="AC6" s="214" t="s">
        <v>61</v>
      </c>
      <c r="AD6" s="354"/>
      <c r="AE6" s="354"/>
      <c r="AF6" s="356"/>
      <c r="AG6" s="352"/>
      <c r="AH6" s="356"/>
      <c r="AI6" s="352"/>
      <c r="AJ6" s="354"/>
      <c r="AK6" s="354"/>
      <c r="AL6" s="354"/>
    </row>
    <row r="7" spans="1:38" s="54" customFormat="1" ht="18.75" customHeight="1">
      <c r="A7" s="115"/>
      <c r="B7" s="168" t="s">
        <v>63</v>
      </c>
      <c r="C7" s="170"/>
      <c r="D7" s="172" t="s">
        <v>148</v>
      </c>
      <c r="E7" s="344" t="s">
        <v>150</v>
      </c>
      <c r="F7" s="342"/>
      <c r="G7" s="342"/>
      <c r="H7" s="342"/>
      <c r="I7" s="345"/>
      <c r="J7" s="336" t="s">
        <v>152</v>
      </c>
      <c r="K7" s="335"/>
      <c r="L7" s="337"/>
      <c r="M7" s="336" t="s">
        <v>153</v>
      </c>
      <c r="N7" s="335"/>
      <c r="O7" s="337"/>
      <c r="P7" s="335"/>
      <c r="Q7" s="335"/>
      <c r="R7" s="335"/>
      <c r="S7" s="369" t="s">
        <v>156</v>
      </c>
      <c r="T7" s="377"/>
      <c r="U7" s="370"/>
      <c r="V7" s="335" t="s">
        <v>154</v>
      </c>
      <c r="W7" s="337"/>
      <c r="X7" s="336" t="s">
        <v>155</v>
      </c>
      <c r="Y7" s="337"/>
      <c r="Z7" s="336"/>
      <c r="AA7" s="337"/>
      <c r="AB7" s="369" t="s">
        <v>156</v>
      </c>
      <c r="AC7" s="370"/>
      <c r="AD7" s="119" t="s">
        <v>112</v>
      </c>
      <c r="AE7" s="119" t="s">
        <v>256</v>
      </c>
      <c r="AF7" s="116" t="s">
        <v>259</v>
      </c>
      <c r="AG7" s="117" t="s">
        <v>261</v>
      </c>
      <c r="AH7" s="116" t="s">
        <v>260</v>
      </c>
      <c r="AI7" s="117" t="s">
        <v>262</v>
      </c>
      <c r="AJ7" s="119" t="s">
        <v>25</v>
      </c>
      <c r="AK7" s="119" t="s">
        <v>264</v>
      </c>
      <c r="AL7" s="119" t="s">
        <v>265</v>
      </c>
    </row>
    <row r="8" spans="1:38" s="54" customFormat="1" ht="103.5" customHeight="1">
      <c r="A8" s="115"/>
      <c r="B8" s="340" t="s">
        <v>280</v>
      </c>
      <c r="C8" s="339"/>
      <c r="D8" s="321" t="s">
        <v>464</v>
      </c>
      <c r="E8" s="344" t="s">
        <v>273</v>
      </c>
      <c r="F8" s="342"/>
      <c r="G8" s="342"/>
      <c r="H8" s="342"/>
      <c r="I8" s="345"/>
      <c r="J8" s="344" t="s">
        <v>274</v>
      </c>
      <c r="K8" s="342"/>
      <c r="L8" s="345"/>
      <c r="M8" s="344" t="s">
        <v>243</v>
      </c>
      <c r="N8" s="342"/>
      <c r="O8" s="345"/>
      <c r="P8" s="338" t="s">
        <v>283</v>
      </c>
      <c r="Q8" s="338"/>
      <c r="R8" s="338"/>
      <c r="S8" s="367" t="s">
        <v>283</v>
      </c>
      <c r="T8" s="376"/>
      <c r="U8" s="368"/>
      <c r="V8" s="338" t="s">
        <v>274</v>
      </c>
      <c r="W8" s="339"/>
      <c r="X8" s="340" t="s">
        <v>243</v>
      </c>
      <c r="Y8" s="339"/>
      <c r="Z8" s="340" t="s">
        <v>283</v>
      </c>
      <c r="AA8" s="339"/>
      <c r="AB8" s="367" t="s">
        <v>283</v>
      </c>
      <c r="AC8" s="368"/>
      <c r="AD8" s="360" t="s">
        <v>286</v>
      </c>
      <c r="AE8" s="360" t="s">
        <v>257</v>
      </c>
      <c r="AF8" s="363" t="s">
        <v>275</v>
      </c>
      <c r="AG8" s="364"/>
      <c r="AH8" s="344" t="s">
        <v>449</v>
      </c>
      <c r="AI8" s="345"/>
      <c r="AJ8" s="360" t="s">
        <v>263</v>
      </c>
      <c r="AK8" s="360" t="s">
        <v>263</v>
      </c>
      <c r="AL8" s="360"/>
    </row>
    <row r="9" spans="1:38" s="54" customFormat="1" ht="36" customHeight="1">
      <c r="A9" s="115"/>
      <c r="B9" s="340" t="s">
        <v>77</v>
      </c>
      <c r="C9" s="339"/>
      <c r="D9" s="172" t="s">
        <v>249</v>
      </c>
      <c r="E9" s="344" t="s">
        <v>293</v>
      </c>
      <c r="F9" s="342"/>
      <c r="G9" s="342"/>
      <c r="H9" s="342"/>
      <c r="I9" s="345"/>
      <c r="J9" s="344" t="s">
        <v>254</v>
      </c>
      <c r="K9" s="342"/>
      <c r="L9" s="345"/>
      <c r="M9" s="344" t="s">
        <v>254</v>
      </c>
      <c r="N9" s="342"/>
      <c r="O9" s="345"/>
      <c r="P9" s="341" t="s">
        <v>254</v>
      </c>
      <c r="Q9" s="342"/>
      <c r="R9" s="343"/>
      <c r="S9" s="369" t="s">
        <v>330</v>
      </c>
      <c r="T9" s="377"/>
      <c r="U9" s="370"/>
      <c r="V9" s="338" t="s">
        <v>255</v>
      </c>
      <c r="W9" s="339"/>
      <c r="X9" s="340" t="s">
        <v>255</v>
      </c>
      <c r="Y9" s="339"/>
      <c r="Z9" s="340" t="s">
        <v>255</v>
      </c>
      <c r="AA9" s="339"/>
      <c r="AB9" s="369" t="s">
        <v>331</v>
      </c>
      <c r="AC9" s="370"/>
      <c r="AD9" s="354"/>
      <c r="AE9" s="354"/>
      <c r="AF9" s="344" t="s">
        <v>281</v>
      </c>
      <c r="AG9" s="345"/>
      <c r="AH9" s="328" t="s">
        <v>281</v>
      </c>
      <c r="AI9" s="327"/>
      <c r="AJ9" s="354"/>
      <c r="AK9" s="354"/>
      <c r="AL9" s="354"/>
    </row>
    <row r="10" spans="1:38" s="54" customFormat="1" ht="18" customHeight="1">
      <c r="A10" s="115"/>
      <c r="B10" s="171"/>
      <c r="C10" s="172"/>
      <c r="D10" s="179"/>
      <c r="E10" s="176">
        <v>0.1</v>
      </c>
      <c r="F10" s="177">
        <v>0.9</v>
      </c>
      <c r="G10" s="177">
        <v>1</v>
      </c>
      <c r="H10" s="177">
        <v>1</v>
      </c>
      <c r="I10" s="178">
        <v>1</v>
      </c>
      <c r="J10" s="122">
        <v>0.9</v>
      </c>
      <c r="K10" s="120">
        <v>1</v>
      </c>
      <c r="L10" s="123">
        <v>1</v>
      </c>
      <c r="M10" s="122">
        <v>0.9</v>
      </c>
      <c r="N10" s="120">
        <v>1</v>
      </c>
      <c r="O10" s="123">
        <v>1</v>
      </c>
      <c r="P10" s="181">
        <v>0.9</v>
      </c>
      <c r="Q10" s="120">
        <v>1</v>
      </c>
      <c r="R10" s="200">
        <v>1</v>
      </c>
      <c r="S10" s="215"/>
      <c r="T10" s="216"/>
      <c r="U10" s="217"/>
      <c r="V10" s="181">
        <v>1</v>
      </c>
      <c r="W10" s="123">
        <v>1</v>
      </c>
      <c r="X10" s="122">
        <v>1</v>
      </c>
      <c r="Y10" s="123">
        <v>1</v>
      </c>
      <c r="Z10" s="122">
        <v>1</v>
      </c>
      <c r="AA10" s="123">
        <v>1</v>
      </c>
      <c r="AB10" s="227">
        <v>1</v>
      </c>
      <c r="AC10" s="228">
        <v>1</v>
      </c>
      <c r="AD10" s="124"/>
      <c r="AE10" s="124"/>
      <c r="AF10" s="165"/>
      <c r="AG10" s="166"/>
      <c r="AH10" s="128"/>
      <c r="AI10" s="129"/>
      <c r="AJ10" s="124"/>
      <c r="AK10" s="124"/>
      <c r="AL10" s="124"/>
    </row>
    <row r="11" spans="1:38" ht="15.75">
      <c r="A11" s="118" t="s">
        <v>10</v>
      </c>
      <c r="B11" s="309">
        <v>1641</v>
      </c>
      <c r="C11" s="310">
        <v>649</v>
      </c>
      <c r="D11" s="319">
        <v>1305600</v>
      </c>
      <c r="E11" s="298">
        <v>2694600</v>
      </c>
      <c r="F11" s="299">
        <v>0</v>
      </c>
      <c r="G11" s="299">
        <v>270000</v>
      </c>
      <c r="H11" s="299">
        <v>352500</v>
      </c>
      <c r="I11" s="300">
        <v>30000</v>
      </c>
      <c r="J11" s="301">
        <v>0</v>
      </c>
      <c r="K11" s="294">
        <v>30523</v>
      </c>
      <c r="L11" s="302">
        <v>387714</v>
      </c>
      <c r="M11" s="301">
        <v>0</v>
      </c>
      <c r="N11" s="294">
        <v>122292</v>
      </c>
      <c r="O11" s="302">
        <v>153563</v>
      </c>
      <c r="P11" s="293">
        <v>0</v>
      </c>
      <c r="Q11" s="303">
        <v>-3518</v>
      </c>
      <c r="R11" s="294">
        <v>68977</v>
      </c>
      <c r="S11" s="218">
        <f>SUM(P11/B11)</f>
        <v>0</v>
      </c>
      <c r="T11" s="219">
        <f>SUM(Q11/B11)</f>
        <v>-2.1438147471054236</v>
      </c>
      <c r="U11" s="220">
        <f>SUM(R11/B11)</f>
        <v>42.03351614868982</v>
      </c>
      <c r="V11" s="293">
        <v>7790404.5</v>
      </c>
      <c r="W11" s="294">
        <v>34000</v>
      </c>
      <c r="X11" s="294">
        <v>7769424.45102009</v>
      </c>
      <c r="Y11" s="294">
        <v>23250</v>
      </c>
      <c r="Z11" s="294">
        <v>3566948.7307273</v>
      </c>
      <c r="AA11" s="294">
        <v>9800</v>
      </c>
      <c r="AB11" s="219">
        <f>SUM(Z11/B11)</f>
        <v>2173.643345964229</v>
      </c>
      <c r="AC11" s="219">
        <f>SUM(AA11/C11)</f>
        <v>15.10015408320493</v>
      </c>
      <c r="AD11" s="291">
        <v>1.6</v>
      </c>
      <c r="AE11" s="125">
        <v>1</v>
      </c>
      <c r="AF11" s="287">
        <v>51.54</v>
      </c>
      <c r="AG11" s="289">
        <v>0</v>
      </c>
      <c r="AH11" s="361">
        <v>93.3</v>
      </c>
      <c r="AI11" s="358">
        <v>8.7</v>
      </c>
      <c r="AJ11" s="291">
        <v>0.8</v>
      </c>
      <c r="AK11" s="125">
        <v>0</v>
      </c>
      <c r="AL11" s="125"/>
    </row>
    <row r="12" spans="1:38" ht="15.75">
      <c r="A12" s="118" t="s">
        <v>11</v>
      </c>
      <c r="B12" s="309">
        <v>602</v>
      </c>
      <c r="C12" s="310">
        <v>602</v>
      </c>
      <c r="D12" s="319">
        <v>1237600</v>
      </c>
      <c r="E12" s="298">
        <v>121100</v>
      </c>
      <c r="F12" s="299">
        <v>6000</v>
      </c>
      <c r="G12" s="299">
        <v>18000</v>
      </c>
      <c r="H12" s="299">
        <v>199500</v>
      </c>
      <c r="I12" s="300">
        <v>0</v>
      </c>
      <c r="J12" s="301">
        <v>0</v>
      </c>
      <c r="K12" s="294">
        <v>1202</v>
      </c>
      <c r="L12" s="302">
        <v>33694</v>
      </c>
      <c r="M12" s="301">
        <v>0</v>
      </c>
      <c r="N12" s="294">
        <v>5082</v>
      </c>
      <c r="O12" s="302">
        <v>61018</v>
      </c>
      <c r="P12" s="293">
        <v>2916</v>
      </c>
      <c r="Q12" s="303">
        <v>0</v>
      </c>
      <c r="R12" s="294">
        <v>20175</v>
      </c>
      <c r="S12" s="218">
        <f aca="true" t="shared" si="0" ref="S12:S23">SUM(P12/B12)</f>
        <v>4.843853820598007</v>
      </c>
      <c r="T12" s="219">
        <f aca="true" t="shared" si="1" ref="T12:T23">SUM(Q12/B12)</f>
        <v>0</v>
      </c>
      <c r="U12" s="220">
        <f aca="true" t="shared" si="2" ref="U12:U23">SUM(R12/B12)</f>
        <v>33.51328903654485</v>
      </c>
      <c r="V12" s="293">
        <v>340835.014285714</v>
      </c>
      <c r="W12" s="294">
        <v>0</v>
      </c>
      <c r="X12" s="294">
        <v>373931.926491201</v>
      </c>
      <c r="Y12" s="294">
        <v>0</v>
      </c>
      <c r="Z12" s="294">
        <v>159685.999065566</v>
      </c>
      <c r="AA12" s="294">
        <v>0</v>
      </c>
      <c r="AB12" s="219">
        <f aca="true" t="shared" si="3" ref="AB12:AB23">SUM(Z12/B12)</f>
        <v>265.2591346604086</v>
      </c>
      <c r="AC12" s="219">
        <f aca="true" t="shared" si="4" ref="AC12:AC23">SUM(AA12/C12)</f>
        <v>0</v>
      </c>
      <c r="AD12" s="291">
        <v>1.6</v>
      </c>
      <c r="AE12" s="125">
        <v>1</v>
      </c>
      <c r="AF12" s="287">
        <v>46.52</v>
      </c>
      <c r="AG12" s="289">
        <v>0</v>
      </c>
      <c r="AH12" s="362"/>
      <c r="AI12" s="359"/>
      <c r="AJ12" s="291">
        <v>0.8</v>
      </c>
      <c r="AK12" s="125">
        <v>0</v>
      </c>
      <c r="AL12" s="125"/>
    </row>
    <row r="13" spans="1:38" ht="15.75">
      <c r="A13" s="118" t="s">
        <v>12</v>
      </c>
      <c r="B13" s="309">
        <v>314</v>
      </c>
      <c r="C13" s="310">
        <v>314</v>
      </c>
      <c r="D13" s="319">
        <v>708600</v>
      </c>
      <c r="E13" s="298">
        <v>302500</v>
      </c>
      <c r="F13" s="299">
        <v>0</v>
      </c>
      <c r="G13" s="299">
        <v>2100</v>
      </c>
      <c r="H13" s="299">
        <v>16500</v>
      </c>
      <c r="I13" s="300">
        <v>0</v>
      </c>
      <c r="J13" s="301">
        <v>0</v>
      </c>
      <c r="K13" s="294">
        <v>0</v>
      </c>
      <c r="L13" s="302">
        <v>11499</v>
      </c>
      <c r="M13" s="301">
        <v>0</v>
      </c>
      <c r="N13" s="294">
        <v>677</v>
      </c>
      <c r="O13" s="302">
        <v>10733</v>
      </c>
      <c r="P13" s="293">
        <v>0</v>
      </c>
      <c r="Q13" s="303">
        <v>0</v>
      </c>
      <c r="R13" s="294">
        <v>896</v>
      </c>
      <c r="S13" s="218">
        <f t="shared" si="0"/>
        <v>0</v>
      </c>
      <c r="T13" s="219">
        <f t="shared" si="1"/>
        <v>0</v>
      </c>
      <c r="U13" s="220">
        <f t="shared" si="2"/>
        <v>2.8535031847133756</v>
      </c>
      <c r="V13" s="293">
        <v>793683</v>
      </c>
      <c r="W13" s="294">
        <v>0</v>
      </c>
      <c r="X13" s="294">
        <v>863614.141099517</v>
      </c>
      <c r="Y13" s="294">
        <v>0</v>
      </c>
      <c r="Z13" s="294">
        <v>474676.031770752</v>
      </c>
      <c r="AA13" s="294">
        <v>0</v>
      </c>
      <c r="AB13" s="219">
        <f t="shared" si="3"/>
        <v>1511.7071075501656</v>
      </c>
      <c r="AC13" s="219">
        <f t="shared" si="4"/>
        <v>0</v>
      </c>
      <c r="AD13" s="291">
        <v>1.6</v>
      </c>
      <c r="AE13" s="125">
        <v>1</v>
      </c>
      <c r="AF13" s="287">
        <v>46.04</v>
      </c>
      <c r="AG13" s="289">
        <v>0</v>
      </c>
      <c r="AH13" s="362"/>
      <c r="AI13" s="359"/>
      <c r="AJ13" s="291">
        <v>0.8</v>
      </c>
      <c r="AK13" s="125">
        <v>0</v>
      </c>
      <c r="AL13" s="125"/>
    </row>
    <row r="14" spans="1:38" ht="15.75">
      <c r="A14" s="118" t="s">
        <v>13</v>
      </c>
      <c r="B14" s="309">
        <v>2937</v>
      </c>
      <c r="C14" s="310">
        <v>963</v>
      </c>
      <c r="D14" s="319">
        <v>169600</v>
      </c>
      <c r="E14" s="298">
        <v>7342500</v>
      </c>
      <c r="F14" s="299">
        <v>9000</v>
      </c>
      <c r="G14" s="299">
        <v>345000</v>
      </c>
      <c r="H14" s="299">
        <v>5100000</v>
      </c>
      <c r="I14" s="300">
        <v>0</v>
      </c>
      <c r="J14" s="301">
        <v>0</v>
      </c>
      <c r="K14" s="294">
        <v>28432</v>
      </c>
      <c r="L14" s="302">
        <v>635407</v>
      </c>
      <c r="M14" s="301">
        <v>6006</v>
      </c>
      <c r="N14" s="294">
        <v>150546</v>
      </c>
      <c r="O14" s="302">
        <v>1783916</v>
      </c>
      <c r="P14" s="293">
        <v>6310</v>
      </c>
      <c r="Q14" s="303">
        <v>-4444</v>
      </c>
      <c r="R14" s="294">
        <v>1687189</v>
      </c>
      <c r="S14" s="218">
        <f t="shared" si="0"/>
        <v>2.1484508001361933</v>
      </c>
      <c r="T14" s="219">
        <f t="shared" si="1"/>
        <v>-1.5131086142322097</v>
      </c>
      <c r="U14" s="220">
        <f t="shared" si="2"/>
        <v>574.4599931903302</v>
      </c>
      <c r="V14" s="293">
        <v>21674713.9571429</v>
      </c>
      <c r="W14" s="294">
        <v>0</v>
      </c>
      <c r="X14" s="294">
        <v>20783108.9238436</v>
      </c>
      <c r="Y14" s="294">
        <v>0</v>
      </c>
      <c r="Z14" s="294">
        <v>12246965.0677465</v>
      </c>
      <c r="AA14" s="294">
        <v>1400</v>
      </c>
      <c r="AB14" s="219">
        <f t="shared" si="3"/>
        <v>4169.889365933435</v>
      </c>
      <c r="AC14" s="219">
        <f t="shared" si="4"/>
        <v>1.453790238836968</v>
      </c>
      <c r="AD14" s="291">
        <v>1.6</v>
      </c>
      <c r="AE14" s="125">
        <v>1</v>
      </c>
      <c r="AF14" s="287">
        <v>98.86</v>
      </c>
      <c r="AG14" s="289">
        <v>0.78</v>
      </c>
      <c r="AH14" s="362"/>
      <c r="AI14" s="359"/>
      <c r="AJ14" s="291">
        <v>0.8</v>
      </c>
      <c r="AK14" s="125">
        <v>0</v>
      </c>
      <c r="AL14" s="125"/>
    </row>
    <row r="15" spans="1:38" ht="15.75">
      <c r="A15" s="118" t="s">
        <v>14</v>
      </c>
      <c r="B15" s="309">
        <v>830</v>
      </c>
      <c r="C15" s="310">
        <v>830</v>
      </c>
      <c r="D15" s="319">
        <v>1658000</v>
      </c>
      <c r="E15" s="298">
        <v>977100</v>
      </c>
      <c r="F15" s="299">
        <v>300</v>
      </c>
      <c r="G15" s="299">
        <v>75000</v>
      </c>
      <c r="H15" s="299">
        <v>273000</v>
      </c>
      <c r="I15" s="300">
        <v>15000</v>
      </c>
      <c r="J15" s="301">
        <v>1336</v>
      </c>
      <c r="K15" s="294">
        <v>2852</v>
      </c>
      <c r="L15" s="302">
        <v>139068</v>
      </c>
      <c r="M15" s="301">
        <v>118</v>
      </c>
      <c r="N15" s="294">
        <v>43161</v>
      </c>
      <c r="O15" s="302">
        <v>129557</v>
      </c>
      <c r="P15" s="293">
        <v>90</v>
      </c>
      <c r="Q15" s="303">
        <v>-150</v>
      </c>
      <c r="R15" s="294">
        <v>-36587</v>
      </c>
      <c r="S15" s="218">
        <f t="shared" si="0"/>
        <v>0.10843373493975904</v>
      </c>
      <c r="T15" s="219">
        <f t="shared" si="1"/>
        <v>-0.18072289156626506</v>
      </c>
      <c r="U15" s="220">
        <f t="shared" si="2"/>
        <v>-44.08072289156627</v>
      </c>
      <c r="V15" s="293">
        <v>2054215.67142857</v>
      </c>
      <c r="W15" s="294">
        <v>0</v>
      </c>
      <c r="X15" s="294">
        <v>2514911.88288429</v>
      </c>
      <c r="Y15" s="294">
        <v>15800</v>
      </c>
      <c r="Z15" s="294">
        <v>1501652.9668276</v>
      </c>
      <c r="AA15" s="294">
        <v>0</v>
      </c>
      <c r="AB15" s="219">
        <f t="shared" si="3"/>
        <v>1809.2204419609639</v>
      </c>
      <c r="AC15" s="219">
        <f t="shared" si="4"/>
        <v>0</v>
      </c>
      <c r="AD15" s="291">
        <v>1.6</v>
      </c>
      <c r="AE15" s="125">
        <v>1</v>
      </c>
      <c r="AF15" s="287">
        <v>50.4</v>
      </c>
      <c r="AG15" s="289">
        <v>0.27</v>
      </c>
      <c r="AH15" s="362"/>
      <c r="AI15" s="359"/>
      <c r="AJ15" s="291">
        <v>0.8</v>
      </c>
      <c r="AK15" s="125">
        <v>0</v>
      </c>
      <c r="AL15" s="125"/>
    </row>
    <row r="16" spans="1:38" ht="15.75">
      <c r="A16" s="118" t="s">
        <v>15</v>
      </c>
      <c r="B16" s="309">
        <v>514</v>
      </c>
      <c r="C16" s="310">
        <v>514</v>
      </c>
      <c r="D16" s="319">
        <v>856200</v>
      </c>
      <c r="E16" s="298">
        <v>895800</v>
      </c>
      <c r="F16" s="299">
        <v>9600</v>
      </c>
      <c r="G16" s="299">
        <v>24000</v>
      </c>
      <c r="H16" s="299">
        <v>40500</v>
      </c>
      <c r="I16" s="300">
        <v>12000</v>
      </c>
      <c r="J16" s="301">
        <v>8516</v>
      </c>
      <c r="K16" s="294">
        <v>777</v>
      </c>
      <c r="L16" s="302">
        <v>14248</v>
      </c>
      <c r="M16" s="301">
        <v>8405</v>
      </c>
      <c r="N16" s="294">
        <v>8756</v>
      </c>
      <c r="O16" s="302">
        <v>14899</v>
      </c>
      <c r="P16" s="293">
        <v>11841</v>
      </c>
      <c r="Q16" s="303">
        <v>-275</v>
      </c>
      <c r="R16" s="294">
        <v>3442</v>
      </c>
      <c r="S16" s="218">
        <f t="shared" si="0"/>
        <v>23.03696498054475</v>
      </c>
      <c r="T16" s="219">
        <f t="shared" si="1"/>
        <v>-0.5350194552529183</v>
      </c>
      <c r="U16" s="220">
        <f t="shared" si="2"/>
        <v>6.696498054474708</v>
      </c>
      <c r="V16" s="293">
        <v>1551471.85714286</v>
      </c>
      <c r="W16" s="294">
        <v>15800</v>
      </c>
      <c r="X16" s="294">
        <v>2286078.07195141</v>
      </c>
      <c r="Y16" s="294">
        <v>12000</v>
      </c>
      <c r="Z16" s="294">
        <v>1179895.99750818</v>
      </c>
      <c r="AA16" s="294">
        <v>0</v>
      </c>
      <c r="AB16" s="219">
        <f t="shared" si="3"/>
        <v>2295.5175048797278</v>
      </c>
      <c r="AC16" s="219">
        <f t="shared" si="4"/>
        <v>0</v>
      </c>
      <c r="AD16" s="291">
        <v>1.6</v>
      </c>
      <c r="AE16" s="125">
        <v>1</v>
      </c>
      <c r="AF16" s="287">
        <v>46.55</v>
      </c>
      <c r="AG16" s="289">
        <v>0</v>
      </c>
      <c r="AH16" s="362"/>
      <c r="AI16" s="359"/>
      <c r="AJ16" s="291">
        <v>0.8</v>
      </c>
      <c r="AK16" s="125">
        <v>0</v>
      </c>
      <c r="AL16" s="125"/>
    </row>
    <row r="17" spans="1:38" ht="15.75">
      <c r="A17" s="118" t="s">
        <v>16</v>
      </c>
      <c r="B17" s="309">
        <v>753</v>
      </c>
      <c r="C17" s="310">
        <v>112</v>
      </c>
      <c r="D17" s="319">
        <v>641300</v>
      </c>
      <c r="E17" s="298">
        <v>1129900</v>
      </c>
      <c r="F17" s="299">
        <v>0</v>
      </c>
      <c r="G17" s="299">
        <v>90000</v>
      </c>
      <c r="H17" s="299">
        <v>540000</v>
      </c>
      <c r="I17" s="300">
        <v>0</v>
      </c>
      <c r="J17" s="301">
        <v>0</v>
      </c>
      <c r="K17" s="294">
        <v>5232</v>
      </c>
      <c r="L17" s="302">
        <v>175352</v>
      </c>
      <c r="M17" s="301">
        <v>0</v>
      </c>
      <c r="N17" s="294">
        <v>41352</v>
      </c>
      <c r="O17" s="302">
        <v>173378</v>
      </c>
      <c r="P17" s="293">
        <v>0</v>
      </c>
      <c r="Q17" s="303">
        <v>-259</v>
      </c>
      <c r="R17" s="294">
        <v>183637</v>
      </c>
      <c r="S17" s="218">
        <f t="shared" si="0"/>
        <v>0</v>
      </c>
      <c r="T17" s="219">
        <f t="shared" si="1"/>
        <v>-0.34395750332005315</v>
      </c>
      <c r="U17" s="220">
        <f t="shared" si="2"/>
        <v>243.8738379814077</v>
      </c>
      <c r="V17" s="293">
        <v>3131337.8</v>
      </c>
      <c r="W17" s="294">
        <v>0</v>
      </c>
      <c r="X17" s="294">
        <v>3236390.95156518</v>
      </c>
      <c r="Y17" s="294">
        <v>0</v>
      </c>
      <c r="Z17" s="294">
        <v>1470097.04095935</v>
      </c>
      <c r="AA17" s="294">
        <v>0</v>
      </c>
      <c r="AB17" s="219">
        <f t="shared" si="3"/>
        <v>1952.3201075157372</v>
      </c>
      <c r="AC17" s="219">
        <f t="shared" si="4"/>
        <v>0</v>
      </c>
      <c r="AD17" s="291">
        <v>1.6</v>
      </c>
      <c r="AE17" s="125">
        <v>1</v>
      </c>
      <c r="AF17" s="287">
        <v>53.13</v>
      </c>
      <c r="AG17" s="289">
        <v>0</v>
      </c>
      <c r="AH17" s="362"/>
      <c r="AI17" s="359"/>
      <c r="AJ17" s="291">
        <v>0.8</v>
      </c>
      <c r="AK17" s="125">
        <v>0</v>
      </c>
      <c r="AL17" s="125"/>
    </row>
    <row r="18" spans="1:38" ht="15.75">
      <c r="A18" s="118" t="s">
        <v>18</v>
      </c>
      <c r="B18" s="309">
        <v>1455</v>
      </c>
      <c r="C18" s="310">
        <v>146</v>
      </c>
      <c r="D18" s="319">
        <v>84000</v>
      </c>
      <c r="E18" s="298">
        <v>7418100</v>
      </c>
      <c r="F18" s="299">
        <v>24600</v>
      </c>
      <c r="G18" s="299">
        <v>150000</v>
      </c>
      <c r="H18" s="299">
        <v>390000</v>
      </c>
      <c r="I18" s="300">
        <v>0</v>
      </c>
      <c r="J18" s="301">
        <v>15097</v>
      </c>
      <c r="K18" s="294">
        <v>11920</v>
      </c>
      <c r="L18" s="302">
        <v>92820</v>
      </c>
      <c r="M18" s="301">
        <v>32245</v>
      </c>
      <c r="N18" s="294">
        <v>119352</v>
      </c>
      <c r="O18" s="302">
        <v>185934</v>
      </c>
      <c r="P18" s="293">
        <v>15966</v>
      </c>
      <c r="Q18" s="303">
        <v>-1010</v>
      </c>
      <c r="R18" s="294">
        <v>116668</v>
      </c>
      <c r="S18" s="218">
        <f t="shared" si="0"/>
        <v>10.97319587628866</v>
      </c>
      <c r="T18" s="219">
        <f t="shared" si="1"/>
        <v>-0.6941580756013745</v>
      </c>
      <c r="U18" s="220">
        <f t="shared" si="2"/>
        <v>80.18419243986254</v>
      </c>
      <c r="V18" s="293">
        <v>15121992.0571429</v>
      </c>
      <c r="W18" s="294">
        <v>0</v>
      </c>
      <c r="X18" s="294">
        <v>22200224.1239682</v>
      </c>
      <c r="Y18" s="294">
        <v>0</v>
      </c>
      <c r="Z18" s="294">
        <v>9930881.34247002</v>
      </c>
      <c r="AA18" s="294">
        <v>0</v>
      </c>
      <c r="AB18" s="219">
        <f t="shared" si="3"/>
        <v>6825.348001697608</v>
      </c>
      <c r="AC18" s="219">
        <f t="shared" si="4"/>
        <v>0</v>
      </c>
      <c r="AD18" s="291">
        <v>1.6</v>
      </c>
      <c r="AE18" s="125">
        <v>1</v>
      </c>
      <c r="AF18" s="287">
        <v>39.15</v>
      </c>
      <c r="AG18" s="289">
        <v>0.05</v>
      </c>
      <c r="AH18" s="362"/>
      <c r="AI18" s="359"/>
      <c r="AJ18" s="291">
        <v>0.8</v>
      </c>
      <c r="AK18" s="125">
        <v>0</v>
      </c>
      <c r="AL18" s="125"/>
    </row>
    <row r="19" spans="1:38" ht="15.75">
      <c r="A19" s="118" t="s">
        <v>17</v>
      </c>
      <c r="B19" s="309">
        <v>1786</v>
      </c>
      <c r="C19" s="310">
        <v>1021</v>
      </c>
      <c r="D19" s="319">
        <v>103200</v>
      </c>
      <c r="E19" s="298">
        <v>11186600</v>
      </c>
      <c r="F19" s="299">
        <v>45000</v>
      </c>
      <c r="G19" s="299">
        <v>150000</v>
      </c>
      <c r="H19" s="299">
        <v>3360000</v>
      </c>
      <c r="I19" s="300">
        <v>0</v>
      </c>
      <c r="J19" s="301">
        <v>0</v>
      </c>
      <c r="K19" s="294">
        <v>11615</v>
      </c>
      <c r="L19" s="302">
        <v>711236</v>
      </c>
      <c r="M19" s="301">
        <v>1761</v>
      </c>
      <c r="N19" s="294">
        <v>132434</v>
      </c>
      <c r="O19" s="302">
        <v>1019124</v>
      </c>
      <c r="P19" s="293">
        <v>241766</v>
      </c>
      <c r="Q19" s="303">
        <v>-4096</v>
      </c>
      <c r="R19" s="294">
        <v>768435</v>
      </c>
      <c r="S19" s="218">
        <f t="shared" si="0"/>
        <v>135.3673012318029</v>
      </c>
      <c r="T19" s="219">
        <f t="shared" si="1"/>
        <v>-2.2933930571108623</v>
      </c>
      <c r="U19" s="220">
        <f t="shared" si="2"/>
        <v>430.25475923852184</v>
      </c>
      <c r="V19" s="293">
        <v>30009518.6428571</v>
      </c>
      <c r="W19" s="294">
        <v>0</v>
      </c>
      <c r="X19" s="294">
        <v>37991737.455225</v>
      </c>
      <c r="Y19" s="294">
        <v>0</v>
      </c>
      <c r="Z19" s="294">
        <v>14234443.1708457</v>
      </c>
      <c r="AA19" s="294">
        <v>0</v>
      </c>
      <c r="AB19" s="219">
        <f t="shared" si="3"/>
        <v>7970.012973597816</v>
      </c>
      <c r="AC19" s="219">
        <f t="shared" si="4"/>
        <v>0</v>
      </c>
      <c r="AD19" s="291">
        <v>1.6</v>
      </c>
      <c r="AE19" s="125">
        <v>1</v>
      </c>
      <c r="AF19" s="287">
        <v>50.24</v>
      </c>
      <c r="AG19" s="289">
        <v>1.23</v>
      </c>
      <c r="AH19" s="362"/>
      <c r="AI19" s="359"/>
      <c r="AJ19" s="291">
        <v>0.8</v>
      </c>
      <c r="AK19" s="125">
        <v>0</v>
      </c>
      <c r="AL19" s="125"/>
    </row>
    <row r="20" spans="1:38" ht="15.75">
      <c r="A20" s="118" t="s">
        <v>19</v>
      </c>
      <c r="B20" s="309">
        <v>541</v>
      </c>
      <c r="C20" s="310">
        <v>541</v>
      </c>
      <c r="D20" s="319">
        <v>988400</v>
      </c>
      <c r="E20" s="298">
        <v>589500</v>
      </c>
      <c r="F20" s="299">
        <v>45000</v>
      </c>
      <c r="G20" s="299">
        <v>60000</v>
      </c>
      <c r="H20" s="299">
        <v>57300</v>
      </c>
      <c r="I20" s="300">
        <v>7000</v>
      </c>
      <c r="J20" s="301">
        <v>6680</v>
      </c>
      <c r="K20" s="294">
        <v>8584</v>
      </c>
      <c r="L20" s="302">
        <v>13263</v>
      </c>
      <c r="M20" s="301">
        <v>38802</v>
      </c>
      <c r="N20" s="294">
        <v>24627</v>
      </c>
      <c r="O20" s="302">
        <v>13307</v>
      </c>
      <c r="P20" s="293">
        <v>48137</v>
      </c>
      <c r="Q20" s="303">
        <v>0</v>
      </c>
      <c r="R20" s="294">
        <v>10864</v>
      </c>
      <c r="S20" s="218">
        <f t="shared" si="0"/>
        <v>88.97781885397413</v>
      </c>
      <c r="T20" s="219">
        <f t="shared" si="1"/>
        <v>0</v>
      </c>
      <c r="U20" s="220">
        <f t="shared" si="2"/>
        <v>20.08133086876155</v>
      </c>
      <c r="V20" s="293">
        <v>1129261.65714286</v>
      </c>
      <c r="W20" s="294">
        <v>9820</v>
      </c>
      <c r="X20" s="294">
        <v>1538573.1505996</v>
      </c>
      <c r="Y20" s="294">
        <v>7620</v>
      </c>
      <c r="Z20" s="294">
        <v>920205.450864352</v>
      </c>
      <c r="AA20" s="294">
        <v>7020</v>
      </c>
      <c r="AB20" s="219">
        <f t="shared" si="3"/>
        <v>1700.9342899525916</v>
      </c>
      <c r="AC20" s="219">
        <f t="shared" si="4"/>
        <v>12.975970425138632</v>
      </c>
      <c r="AD20" s="291">
        <v>1.6</v>
      </c>
      <c r="AE20" s="125">
        <v>1</v>
      </c>
      <c r="AF20" s="287">
        <v>51</v>
      </c>
      <c r="AG20" s="289">
        <v>0</v>
      </c>
      <c r="AH20" s="362"/>
      <c r="AI20" s="359"/>
      <c r="AJ20" s="291">
        <v>0.8</v>
      </c>
      <c r="AK20" s="125">
        <v>0</v>
      </c>
      <c r="AL20" s="125"/>
    </row>
    <row r="21" spans="1:38" ht="15.75">
      <c r="A21" s="118" t="s">
        <v>20</v>
      </c>
      <c r="B21" s="309">
        <v>1782</v>
      </c>
      <c r="C21" s="310">
        <v>338</v>
      </c>
      <c r="D21" s="319">
        <v>1133000</v>
      </c>
      <c r="E21" s="298">
        <v>1883300</v>
      </c>
      <c r="F21" s="299">
        <v>10500</v>
      </c>
      <c r="G21" s="299">
        <v>150000</v>
      </c>
      <c r="H21" s="299">
        <v>1389000</v>
      </c>
      <c r="I21" s="300">
        <v>0</v>
      </c>
      <c r="J21" s="301">
        <v>6228</v>
      </c>
      <c r="K21" s="294">
        <v>3432</v>
      </c>
      <c r="L21" s="302">
        <v>186015</v>
      </c>
      <c r="M21" s="301">
        <v>11132</v>
      </c>
      <c r="N21" s="294">
        <v>60832</v>
      </c>
      <c r="O21" s="302">
        <v>636732</v>
      </c>
      <c r="P21" s="293">
        <v>7815</v>
      </c>
      <c r="Q21" s="303">
        <v>-1409</v>
      </c>
      <c r="R21" s="294">
        <v>528964</v>
      </c>
      <c r="S21" s="218">
        <f t="shared" si="0"/>
        <v>4.385521885521886</v>
      </c>
      <c r="T21" s="219">
        <f t="shared" si="1"/>
        <v>-0.7906846240179574</v>
      </c>
      <c r="U21" s="220">
        <f t="shared" si="2"/>
        <v>296.8372615039282</v>
      </c>
      <c r="V21" s="293">
        <v>4243565.48571429</v>
      </c>
      <c r="W21" s="294">
        <v>0</v>
      </c>
      <c r="X21" s="294">
        <v>4980443.26428905</v>
      </c>
      <c r="Y21" s="294">
        <v>0</v>
      </c>
      <c r="Z21" s="294">
        <v>2840368.01121321</v>
      </c>
      <c r="AA21" s="294">
        <v>0</v>
      </c>
      <c r="AB21" s="219">
        <f t="shared" si="3"/>
        <v>1593.9214428805892</v>
      </c>
      <c r="AC21" s="219">
        <f t="shared" si="4"/>
        <v>0</v>
      </c>
      <c r="AD21" s="291">
        <v>1.6</v>
      </c>
      <c r="AE21" s="125">
        <v>1</v>
      </c>
      <c r="AF21" s="287">
        <v>34.75</v>
      </c>
      <c r="AG21" s="289">
        <v>0</v>
      </c>
      <c r="AH21" s="362"/>
      <c r="AI21" s="359"/>
      <c r="AJ21" s="291">
        <v>0.8</v>
      </c>
      <c r="AK21" s="125">
        <v>0</v>
      </c>
      <c r="AL21" s="125"/>
    </row>
    <row r="22" spans="1:38" ht="16.5" thickBot="1">
      <c r="A22" s="130" t="s">
        <v>21</v>
      </c>
      <c r="B22" s="309">
        <v>705</v>
      </c>
      <c r="C22" s="310">
        <v>705</v>
      </c>
      <c r="D22" s="319">
        <v>1073200</v>
      </c>
      <c r="E22" s="304">
        <v>238700</v>
      </c>
      <c r="F22" s="305">
        <v>0</v>
      </c>
      <c r="G22" s="305">
        <v>120000</v>
      </c>
      <c r="H22" s="305">
        <v>438000</v>
      </c>
      <c r="I22" s="306">
        <v>0</v>
      </c>
      <c r="J22" s="301">
        <v>0</v>
      </c>
      <c r="K22" s="294">
        <v>19147</v>
      </c>
      <c r="L22" s="302">
        <v>128565</v>
      </c>
      <c r="M22" s="301">
        <v>0</v>
      </c>
      <c r="N22" s="294">
        <v>67467</v>
      </c>
      <c r="O22" s="302">
        <v>341987</v>
      </c>
      <c r="P22" s="293">
        <v>0</v>
      </c>
      <c r="Q22" s="303">
        <v>-196</v>
      </c>
      <c r="R22" s="294">
        <v>72029</v>
      </c>
      <c r="S22" s="221">
        <f t="shared" si="0"/>
        <v>0</v>
      </c>
      <c r="T22" s="222">
        <f t="shared" si="1"/>
        <v>-0.27801418439716313</v>
      </c>
      <c r="U22" s="223">
        <f t="shared" si="2"/>
        <v>102.16879432624114</v>
      </c>
      <c r="V22" s="293">
        <v>810905.357142857</v>
      </c>
      <c r="W22" s="294">
        <v>0</v>
      </c>
      <c r="X22" s="294">
        <v>817041.940507709</v>
      </c>
      <c r="Y22" s="294">
        <v>0</v>
      </c>
      <c r="Z22" s="294">
        <v>316896.013082074</v>
      </c>
      <c r="AA22" s="294">
        <v>0</v>
      </c>
      <c r="AB22" s="222">
        <f t="shared" si="3"/>
        <v>449.4978908965589</v>
      </c>
      <c r="AC22" s="222">
        <f t="shared" si="4"/>
        <v>0</v>
      </c>
      <c r="AD22" s="292">
        <v>1.6</v>
      </c>
      <c r="AE22" s="131">
        <v>1</v>
      </c>
      <c r="AF22" s="288">
        <v>48.1</v>
      </c>
      <c r="AG22" s="290">
        <v>0</v>
      </c>
      <c r="AH22" s="362"/>
      <c r="AI22" s="359"/>
      <c r="AJ22" s="292">
        <v>0.8</v>
      </c>
      <c r="AK22" s="125">
        <v>0</v>
      </c>
      <c r="AL22" s="131"/>
    </row>
    <row r="23" spans="1:38" s="91" customFormat="1" ht="16.5" thickBot="1">
      <c r="A23" s="132" t="s">
        <v>2</v>
      </c>
      <c r="B23" s="311">
        <f>SUM(B11:B22)</f>
        <v>13860</v>
      </c>
      <c r="C23" s="312">
        <f>SUM(C11:C22)</f>
        <v>6735</v>
      </c>
      <c r="D23" s="180">
        <f>SUM(D11:D22)</f>
        <v>9958700</v>
      </c>
      <c r="E23" s="297">
        <f>SUM(E11:E22)</f>
        <v>34779700</v>
      </c>
      <c r="F23" s="297">
        <f>SUM(F11:F22)</f>
        <v>150000</v>
      </c>
      <c r="G23" s="307">
        <f>SUM(G11:G22)</f>
        <v>1454100</v>
      </c>
      <c r="H23" s="307">
        <f aca="true" t="shared" si="5" ref="H23:X23">SUM(H11:H22)</f>
        <v>12156300</v>
      </c>
      <c r="I23" s="296">
        <f t="shared" si="5"/>
        <v>64000</v>
      </c>
      <c r="J23" s="297">
        <f t="shared" si="5"/>
        <v>37857</v>
      </c>
      <c r="K23" s="307">
        <f t="shared" si="5"/>
        <v>123716</v>
      </c>
      <c r="L23" s="296">
        <f t="shared" si="5"/>
        <v>2528881</v>
      </c>
      <c r="M23" s="297">
        <f t="shared" si="5"/>
        <v>98469</v>
      </c>
      <c r="N23" s="307">
        <f t="shared" si="5"/>
        <v>776578</v>
      </c>
      <c r="O23" s="296">
        <f t="shared" si="5"/>
        <v>4524148</v>
      </c>
      <c r="P23" s="295">
        <f t="shared" si="5"/>
        <v>334841</v>
      </c>
      <c r="Q23" s="307">
        <f t="shared" si="5"/>
        <v>-15357</v>
      </c>
      <c r="R23" s="308">
        <f t="shared" si="5"/>
        <v>3424689</v>
      </c>
      <c r="S23" s="224">
        <f t="shared" si="0"/>
        <v>24.158802308802308</v>
      </c>
      <c r="T23" s="225">
        <f t="shared" si="1"/>
        <v>-1.108008658008658</v>
      </c>
      <c r="U23" s="226">
        <f t="shared" si="2"/>
        <v>247.09155844155845</v>
      </c>
      <c r="V23" s="295">
        <f t="shared" si="5"/>
        <v>88651905.00000004</v>
      </c>
      <c r="W23" s="296">
        <f t="shared" si="5"/>
        <v>59620</v>
      </c>
      <c r="X23" s="297">
        <f t="shared" si="5"/>
        <v>105355480.28344485</v>
      </c>
      <c r="Y23" s="296">
        <f>SUM(Y11:Y22)</f>
        <v>58670</v>
      </c>
      <c r="Z23" s="297">
        <f>SUM(Z11:Z22)</f>
        <v>48842715.82308061</v>
      </c>
      <c r="AA23" s="296">
        <f>SUM(AA11:AA22)</f>
        <v>18220</v>
      </c>
      <c r="AB23" s="224">
        <f t="shared" si="3"/>
        <v>3524.0054706407363</v>
      </c>
      <c r="AC23" s="226">
        <f t="shared" si="4"/>
        <v>2.705270972531552</v>
      </c>
      <c r="AD23" s="133"/>
      <c r="AE23" s="133"/>
      <c r="AF23" s="134"/>
      <c r="AG23" s="135"/>
      <c r="AH23" s="134"/>
      <c r="AI23" s="135"/>
      <c r="AJ23" s="133"/>
      <c r="AK23" s="133"/>
      <c r="AL23" s="133"/>
    </row>
    <row r="24" spans="5:18" ht="15.75">
      <c r="E24" s="211"/>
      <c r="F24" s="211"/>
      <c r="G24" s="211"/>
      <c r="H24" s="211"/>
      <c r="I24" s="211"/>
      <c r="J24" s="211"/>
      <c r="K24" s="211"/>
      <c r="L24" s="211"/>
      <c r="M24" s="211"/>
      <c r="N24" s="211"/>
      <c r="O24" s="211"/>
      <c r="P24" s="211"/>
      <c r="Q24" s="211"/>
      <c r="R24" s="211"/>
    </row>
    <row r="26" spans="2:8" ht="18.75">
      <c r="B26" s="371" t="s">
        <v>288</v>
      </c>
      <c r="C26" s="371"/>
      <c r="D26" s="371"/>
      <c r="E26" s="371"/>
      <c r="F26" s="371"/>
      <c r="G26" s="371"/>
      <c r="H26" s="371"/>
    </row>
    <row r="27" ht="16.5" thickBot="1"/>
    <row r="28" spans="2:17" ht="31.5">
      <c r="B28" s="331" t="s">
        <v>41</v>
      </c>
      <c r="C28" s="332"/>
      <c r="D28" s="136" t="s">
        <v>142</v>
      </c>
      <c r="E28" s="137" t="s">
        <v>289</v>
      </c>
      <c r="F28" s="138" t="s">
        <v>140</v>
      </c>
      <c r="G28" s="137" t="s">
        <v>141</v>
      </c>
      <c r="H28" s="139" t="s">
        <v>253</v>
      </c>
      <c r="Q28" s="201"/>
    </row>
    <row r="29" spans="2:17" ht="121.5" customHeight="1">
      <c r="B29" s="372" t="s">
        <v>143</v>
      </c>
      <c r="C29" s="373"/>
      <c r="D29" s="75" t="s">
        <v>144</v>
      </c>
      <c r="E29" s="76" t="s">
        <v>281</v>
      </c>
      <c r="F29" s="77" t="s">
        <v>42</v>
      </c>
      <c r="G29" s="78" t="s">
        <v>145</v>
      </c>
      <c r="H29" s="140">
        <v>37846100</v>
      </c>
      <c r="Q29" s="201"/>
    </row>
    <row r="30" spans="2:17" ht="108" customHeight="1">
      <c r="B30" s="372" t="s">
        <v>40</v>
      </c>
      <c r="C30" s="373"/>
      <c r="D30" s="75" t="s">
        <v>146</v>
      </c>
      <c r="E30" s="76" t="s">
        <v>281</v>
      </c>
      <c r="F30" s="77" t="s">
        <v>147</v>
      </c>
      <c r="G30" s="78" t="s">
        <v>145</v>
      </c>
      <c r="H30" s="320">
        <v>24306800</v>
      </c>
      <c r="Q30" s="201"/>
    </row>
    <row r="31" spans="2:17" ht="138" customHeight="1">
      <c r="B31" s="372" t="s">
        <v>291</v>
      </c>
      <c r="C31" s="373"/>
      <c r="D31" s="75" t="s">
        <v>292</v>
      </c>
      <c r="E31" s="76" t="s">
        <v>290</v>
      </c>
      <c r="F31" s="182" t="s">
        <v>147</v>
      </c>
      <c r="G31" s="78" t="s">
        <v>145</v>
      </c>
      <c r="H31" s="317"/>
      <c r="Q31" s="201"/>
    </row>
    <row r="32" spans="2:17" ht="136.5" customHeight="1" thickBot="1">
      <c r="B32" s="329" t="s">
        <v>37</v>
      </c>
      <c r="C32" s="330"/>
      <c r="D32" s="141" t="s">
        <v>151</v>
      </c>
      <c r="E32" s="142" t="s">
        <v>281</v>
      </c>
      <c r="F32" s="143" t="s">
        <v>42</v>
      </c>
      <c r="G32" s="144" t="s">
        <v>145</v>
      </c>
      <c r="H32" s="145">
        <v>0</v>
      </c>
      <c r="Q32" s="201"/>
    </row>
    <row r="33" ht="15.75">
      <c r="Q33" s="201"/>
    </row>
    <row r="34" ht="15.75">
      <c r="Q34" s="201"/>
    </row>
    <row r="35" ht="15.75">
      <c r="Q35" s="201"/>
    </row>
    <row r="36" ht="15.75">
      <c r="Q36" s="201"/>
    </row>
    <row r="37" ht="15.75">
      <c r="Q37" s="201"/>
    </row>
    <row r="38" ht="15.75">
      <c r="Q38" s="201"/>
    </row>
    <row r="39" ht="15.75">
      <c r="Q39" s="201"/>
    </row>
  </sheetData>
  <sheetProtection/>
  <mergeCells count="79">
    <mergeCell ref="Z4:AA4"/>
    <mergeCell ref="Z5:AA5"/>
    <mergeCell ref="Z7:AA7"/>
    <mergeCell ref="Z8:AA8"/>
    <mergeCell ref="Z9:AA9"/>
    <mergeCell ref="S4:U4"/>
    <mergeCell ref="S5:U5"/>
    <mergeCell ref="S7:U7"/>
    <mergeCell ref="S8:U8"/>
    <mergeCell ref="S9:U9"/>
    <mergeCell ref="M9:O9"/>
    <mergeCell ref="B26:H26"/>
    <mergeCell ref="B31:C31"/>
    <mergeCell ref="J5:L5"/>
    <mergeCell ref="J8:L8"/>
    <mergeCell ref="J9:L9"/>
    <mergeCell ref="E5:I5"/>
    <mergeCell ref="D5:D6"/>
    <mergeCell ref="E7:I7"/>
    <mergeCell ref="E8:I8"/>
    <mergeCell ref="E9:I9"/>
    <mergeCell ref="B8:C8"/>
    <mergeCell ref="B9:C9"/>
    <mergeCell ref="J7:L7"/>
    <mergeCell ref="B29:C29"/>
    <mergeCell ref="B30:C30"/>
    <mergeCell ref="AF8:AG8"/>
    <mergeCell ref="AF9:AG9"/>
    <mergeCell ref="AD8:AD9"/>
    <mergeCell ref="AE5:AE6"/>
    <mergeCell ref="AB5:AC5"/>
    <mergeCell ref="AB8:AC8"/>
    <mergeCell ref="AB9:AC9"/>
    <mergeCell ref="AE8:AE9"/>
    <mergeCell ref="AB7:AC7"/>
    <mergeCell ref="AI11:AI22"/>
    <mergeCell ref="AJ5:AJ6"/>
    <mergeCell ref="AK5:AK6"/>
    <mergeCell ref="AL5:AL6"/>
    <mergeCell ref="AJ8:AJ9"/>
    <mergeCell ref="AK8:AK9"/>
    <mergeCell ref="AL8:AL9"/>
    <mergeCell ref="AI5:AI6"/>
    <mergeCell ref="AH8:AI8"/>
    <mergeCell ref="AH9:AI9"/>
    <mergeCell ref="AH5:AH6"/>
    <mergeCell ref="AH11:AH22"/>
    <mergeCell ref="AH4:AI4"/>
    <mergeCell ref="A5:A6"/>
    <mergeCell ref="B4:C4"/>
    <mergeCell ref="E4:I4"/>
    <mergeCell ref="J4:L4"/>
    <mergeCell ref="M4:O4"/>
    <mergeCell ref="P4:R4"/>
    <mergeCell ref="V4:W4"/>
    <mergeCell ref="X4:Y4"/>
    <mergeCell ref="AG5:AG6"/>
    <mergeCell ref="AD5:AD6"/>
    <mergeCell ref="B5:B6"/>
    <mergeCell ref="C5:C6"/>
    <mergeCell ref="AF5:AF6"/>
    <mergeCell ref="M5:O5"/>
    <mergeCell ref="P5:R5"/>
    <mergeCell ref="V5:W5"/>
    <mergeCell ref="X5:Y5"/>
    <mergeCell ref="B32:C32"/>
    <mergeCell ref="B28:C28"/>
    <mergeCell ref="AB4:AC4"/>
    <mergeCell ref="P7:R7"/>
    <mergeCell ref="X7:Y7"/>
    <mergeCell ref="V8:W8"/>
    <mergeCell ref="V9:W9"/>
    <mergeCell ref="X8:Y8"/>
    <mergeCell ref="X9:Y9"/>
    <mergeCell ref="V7:W7"/>
    <mergeCell ref="P8:R8"/>
    <mergeCell ref="P9:R9"/>
    <mergeCell ref="M7:O7"/>
    <mergeCell ref="M8:O8"/>
  </mergeCells>
  <printOptions/>
  <pageMargins left="0.3937007874015748" right="0.15748031496062992" top="0.4330708661417323" bottom="0.7480314960629921" header="0.31496062992125984" footer="0.31496062992125984"/>
  <pageSetup fitToWidth="2" fitToHeight="1" horizontalDpi="600" verticalDpi="600" orientation="landscape" paperSize="9" scale="38" r:id="rId1"/>
</worksheet>
</file>

<file path=xl/worksheets/sheet2.xml><?xml version="1.0" encoding="utf-8"?>
<worksheet xmlns="http://schemas.openxmlformats.org/spreadsheetml/2006/main" xmlns:r="http://schemas.openxmlformats.org/officeDocument/2006/relationships">
  <sheetPr>
    <pageSetUpPr fitToPage="1"/>
  </sheetPr>
  <dimension ref="A2:O35"/>
  <sheetViews>
    <sheetView tabSelected="1" zoomScale="90" zoomScaleNormal="90" zoomScalePageLayoutView="0" workbookViewId="0" topLeftCell="A1">
      <selection activeCell="I6" sqref="I6"/>
    </sheetView>
  </sheetViews>
  <sheetFormatPr defaultColWidth="9.00390625" defaultRowHeight="12.75"/>
  <cols>
    <col min="1" max="1" width="16.00390625" style="16" customWidth="1"/>
    <col min="2" max="2" width="35.25390625" style="16" customWidth="1"/>
    <col min="3" max="4" width="21.00390625" style="16" customWidth="1"/>
    <col min="5" max="5" width="15.125" style="16" customWidth="1"/>
    <col min="6" max="6" width="12.875" style="16" customWidth="1"/>
    <col min="7" max="7" width="19.375" style="16" customWidth="1"/>
    <col min="8" max="8" width="23.625" style="16" customWidth="1"/>
    <col min="9" max="9" width="28.875" style="16" customWidth="1"/>
    <col min="10" max="10" width="21.625" style="16" customWidth="1"/>
    <col min="11" max="11" width="17.00390625" style="16" customWidth="1"/>
    <col min="12" max="12" width="14.625" style="16" customWidth="1"/>
    <col min="13" max="13" width="13.75390625" style="16" customWidth="1"/>
    <col min="14" max="14" width="14.375" style="16" customWidth="1"/>
    <col min="15" max="15" width="16.125" style="16" customWidth="1"/>
    <col min="16" max="16384" width="9.125" style="16" customWidth="1"/>
  </cols>
  <sheetData>
    <row r="2" spans="2:7" ht="15">
      <c r="B2" s="378" t="s">
        <v>466</v>
      </c>
      <c r="C2" s="378"/>
      <c r="D2" s="378"/>
      <c r="E2" s="378"/>
      <c r="F2" s="378"/>
      <c r="G2" s="378"/>
    </row>
    <row r="3" ht="33" customHeight="1">
      <c r="B3" s="16" t="s">
        <v>467</v>
      </c>
    </row>
    <row r="4" spans="2:7" ht="24.75" customHeight="1">
      <c r="B4" s="313" t="s">
        <v>432</v>
      </c>
      <c r="C4" s="314">
        <f>SUM(0.075*(ДАННЫЕ!H29+ДАННЫЕ!H30)+0.2*ДАННЫЕ!H31-ДАННЫЕ!H32)</f>
        <v>4661467.5</v>
      </c>
      <c r="D4" s="315"/>
      <c r="E4" s="315"/>
      <c r="F4" s="315"/>
      <c r="G4" s="315"/>
    </row>
    <row r="5" spans="2:7" ht="18">
      <c r="B5" s="386" t="s">
        <v>456</v>
      </c>
      <c r="C5" s="386"/>
      <c r="D5" s="270"/>
      <c r="E5" s="270"/>
      <c r="F5" s="270"/>
      <c r="G5" s="270"/>
    </row>
    <row r="8" spans="1:15" s="36" customFormat="1" ht="183.75" customHeight="1">
      <c r="A8" s="234" t="s">
        <v>448</v>
      </c>
      <c r="B8" s="34" t="s">
        <v>277</v>
      </c>
      <c r="C8" s="234" t="s">
        <v>434</v>
      </c>
      <c r="D8" s="380" t="s">
        <v>434</v>
      </c>
      <c r="E8" s="381"/>
      <c r="F8" s="382"/>
      <c r="G8" s="189" t="s">
        <v>438</v>
      </c>
      <c r="H8" s="189" t="s">
        <v>441</v>
      </c>
      <c r="I8" s="230" t="s">
        <v>435</v>
      </c>
      <c r="J8" s="189" t="s">
        <v>444</v>
      </c>
      <c r="K8" s="230" t="s">
        <v>437</v>
      </c>
      <c r="L8" s="230" t="s">
        <v>360</v>
      </c>
      <c r="M8" s="230" t="s">
        <v>294</v>
      </c>
      <c r="N8" s="230" t="s">
        <v>56</v>
      </c>
      <c r="O8" s="230" t="s">
        <v>307</v>
      </c>
    </row>
    <row r="9" spans="1:15" s="36" customFormat="1" ht="18.75">
      <c r="A9" s="34"/>
      <c r="B9" s="34" t="s">
        <v>48</v>
      </c>
      <c r="C9" s="234" t="s">
        <v>278</v>
      </c>
      <c r="D9" s="380" t="s">
        <v>278</v>
      </c>
      <c r="E9" s="381"/>
      <c r="F9" s="382"/>
      <c r="G9" s="189" t="s">
        <v>439</v>
      </c>
      <c r="H9" s="189" t="s">
        <v>440</v>
      </c>
      <c r="I9" s="230" t="s">
        <v>279</v>
      </c>
      <c r="J9" s="189" t="s">
        <v>445</v>
      </c>
      <c r="K9" s="230" t="s">
        <v>51</v>
      </c>
      <c r="L9" s="230" t="s">
        <v>436</v>
      </c>
      <c r="M9" s="230" t="s">
        <v>23</v>
      </c>
      <c r="N9" s="238" t="s">
        <v>314</v>
      </c>
      <c r="O9" s="238" t="s">
        <v>26</v>
      </c>
    </row>
    <row r="10" spans="1:15" s="36" customFormat="1" ht="36.75">
      <c r="A10" s="34"/>
      <c r="B10" s="189" t="s">
        <v>433</v>
      </c>
      <c r="C10" s="34" t="s">
        <v>27</v>
      </c>
      <c r="D10" s="380" t="s">
        <v>457</v>
      </c>
      <c r="E10" s="381"/>
      <c r="F10" s="382"/>
      <c r="G10" s="189"/>
      <c r="H10" s="234" t="s">
        <v>442</v>
      </c>
      <c r="I10" s="230" t="s">
        <v>446</v>
      </c>
      <c r="J10" s="189" t="s">
        <v>249</v>
      </c>
      <c r="K10" s="230" t="s">
        <v>52</v>
      </c>
      <c r="L10" s="230" t="s">
        <v>1</v>
      </c>
      <c r="M10" s="230" t="s">
        <v>1</v>
      </c>
      <c r="N10" s="230" t="s">
        <v>1</v>
      </c>
      <c r="O10" s="230" t="s">
        <v>1</v>
      </c>
    </row>
    <row r="11" spans="1:15" s="36" customFormat="1" ht="33.75">
      <c r="A11" s="189"/>
      <c r="B11" s="189"/>
      <c r="C11" s="189"/>
      <c r="D11" s="283" t="s">
        <v>458</v>
      </c>
      <c r="E11" s="283" t="s">
        <v>459</v>
      </c>
      <c r="F11" s="283" t="s">
        <v>1</v>
      </c>
      <c r="G11" s="189"/>
      <c r="H11" s="189"/>
      <c r="I11" s="230" t="s">
        <v>447</v>
      </c>
      <c r="J11" s="272"/>
      <c r="K11" s="274" t="s">
        <v>443</v>
      </c>
      <c r="L11" s="230"/>
      <c r="M11" s="230"/>
      <c r="N11" s="230"/>
      <c r="O11" s="230"/>
    </row>
    <row r="12" spans="1:15" s="36" customFormat="1" ht="15">
      <c r="A12" s="189"/>
      <c r="B12" s="189">
        <v>1</v>
      </c>
      <c r="C12" s="189">
        <v>2</v>
      </c>
      <c r="D12" s="318" t="s">
        <v>460</v>
      </c>
      <c r="E12" s="318" t="s">
        <v>461</v>
      </c>
      <c r="F12" s="318" t="s">
        <v>462</v>
      </c>
      <c r="G12" s="189">
        <v>3</v>
      </c>
      <c r="H12" s="189">
        <v>4</v>
      </c>
      <c r="I12" s="230">
        <v>5</v>
      </c>
      <c r="J12" s="189">
        <v>6</v>
      </c>
      <c r="K12" s="230">
        <v>7</v>
      </c>
      <c r="L12" s="230">
        <v>8</v>
      </c>
      <c r="M12" s="230">
        <v>9</v>
      </c>
      <c r="N12" s="230">
        <v>10</v>
      </c>
      <c r="O12" s="230">
        <v>11</v>
      </c>
    </row>
    <row r="13" spans="1:15" ht="15">
      <c r="A13" s="174" t="s">
        <v>10</v>
      </c>
      <c r="B13" s="279">
        <f>IF(I13&lt;$C$13,(($O$25/$N$25)*($C$13-I13)*L13*N13),"")</f>
        <v>630970.0850404687</v>
      </c>
      <c r="C13" s="383">
        <v>1.014</v>
      </c>
      <c r="D13" s="284">
        <f>IF(I13&lt;$C$13,I13*L13*N13,"")</f>
        <v>1383.039002407195</v>
      </c>
      <c r="E13" s="284">
        <f>IF(I13&lt;$C$13,L13*N13,"")</f>
        <v>1541.387715811372</v>
      </c>
      <c r="F13" s="387">
        <f>SUM((C4/(O25/N25)+D25)/E25)</f>
        <v>1.0135634039519044</v>
      </c>
      <c r="G13" s="277">
        <v>7</v>
      </c>
      <c r="H13" s="275">
        <v>7</v>
      </c>
      <c r="I13" s="261">
        <f>SUM(K13+(J13/($O$25/$N$25*L13*N13)))</f>
        <v>0.897268732727104</v>
      </c>
      <c r="J13" s="273">
        <f>SUM(ДАННЫЕ!D11)</f>
        <v>1305600</v>
      </c>
      <c r="K13" s="261">
        <f>SUM(M13/L13)</f>
        <v>0.6557290049891109</v>
      </c>
      <c r="L13" s="261">
        <f>SUM('Индекс бюджетных расходов'!B10)</f>
        <v>0.9392978158509274</v>
      </c>
      <c r="M13" s="261">
        <f>SUM('Индекс налогового потенциал'!B11)</f>
        <v>0.6159248221763738</v>
      </c>
      <c r="N13" s="236">
        <f>SUM(ЧИСЛЕННОСТЬ!F10)</f>
        <v>1641</v>
      </c>
      <c r="O13" s="236">
        <f>SUM(ДАННЫЕ!E11+ДАННЫЕ!F11+ДАННЫЕ!G11+ДАННЫЕ!H11+ДАННЫЕ!I11)</f>
        <v>3347100</v>
      </c>
    </row>
    <row r="14" spans="1:15" ht="15">
      <c r="A14" s="174" t="s">
        <v>11</v>
      </c>
      <c r="B14" s="279">
        <f aca="true" t="shared" si="0" ref="B14:B24">IF(I14&lt;$C$13,(($O$25/$N$25)*($C$13-I14)*L14*N14),"")</f>
        <v>884350.9611138069</v>
      </c>
      <c r="C14" s="384"/>
      <c r="D14" s="284">
        <f aca="true" t="shared" si="1" ref="D14:D24">IF(I14&lt;$C$13,I14*L14*N14,"")</f>
        <v>437.56207736489245</v>
      </c>
      <c r="E14" s="284">
        <f aca="true" t="shared" si="2" ref="E14:E24">IF(I14&lt;$C$13,L14*N14,"")</f>
        <v>680.2214944003603</v>
      </c>
      <c r="F14" s="388"/>
      <c r="G14" s="277">
        <v>1</v>
      </c>
      <c r="H14" s="275">
        <v>1</v>
      </c>
      <c r="I14" s="261">
        <f aca="true" t="shared" si="3" ref="I14:I24">SUM(K14+(J14/($O$25/$N$25*L14*N14)))</f>
        <v>0.6432641146552113</v>
      </c>
      <c r="J14" s="273">
        <f>SUM(ДАННЫЕ!D12)</f>
        <v>1237600</v>
      </c>
      <c r="K14" s="261">
        <f aca="true" t="shared" si="4" ref="K14:K24">SUM(M14/L14)</f>
        <v>0.12443985609971595</v>
      </c>
      <c r="L14" s="261">
        <f>SUM('Индекс бюджетных расходов'!B11)</f>
        <v>1.1299360372099008</v>
      </c>
      <c r="M14" s="261">
        <f>SUM('Индекс налогового потенциал'!B12)</f>
        <v>0.14060907787228333</v>
      </c>
      <c r="N14" s="236">
        <f>SUM(ЧИСЛЕННОСТЬ!F11)</f>
        <v>602</v>
      </c>
      <c r="O14" s="236">
        <f>SUM(ДАННЫЕ!E12+ДАННЫЕ!F12+ДАННЫЕ!G12+ДАННЫЕ!H12+ДАННЫЕ!I12)</f>
        <v>344600</v>
      </c>
    </row>
    <row r="15" spans="1:15" ht="15">
      <c r="A15" s="174" t="s">
        <v>12</v>
      </c>
      <c r="B15" s="279">
        <f t="shared" si="0"/>
        <v>341957.7702775391</v>
      </c>
      <c r="C15" s="384"/>
      <c r="D15" s="284">
        <f t="shared" si="1"/>
        <v>296.9411620551242</v>
      </c>
      <c r="E15" s="284">
        <f t="shared" si="2"/>
        <v>389.00811211688296</v>
      </c>
      <c r="F15" s="388"/>
      <c r="G15" s="277">
        <v>3</v>
      </c>
      <c r="H15" s="275">
        <v>3</v>
      </c>
      <c r="I15" s="261">
        <f t="shared" si="3"/>
        <v>0.7633289713143669</v>
      </c>
      <c r="J15" s="273">
        <f>SUM(ДАННЫЕ!D13)</f>
        <v>708600</v>
      </c>
      <c r="K15" s="261">
        <f t="shared" si="4"/>
        <v>0.2438920514207921</v>
      </c>
      <c r="L15" s="261">
        <f>SUM('Индекс бюджетных расходов'!B12)</f>
        <v>1.2388793379518566</v>
      </c>
      <c r="M15" s="261">
        <f>SUM('Индекс налогового потенциал'!B13)</f>
        <v>0.3021528231959111</v>
      </c>
      <c r="N15" s="236">
        <f>SUM(ЧИСЛЕННОСТЬ!F12)</f>
        <v>314</v>
      </c>
      <c r="O15" s="236">
        <f>SUM(ДАННЫЕ!E13+ДАННЫЕ!F13+ДАННЫЕ!G13+ДАННЫЕ!H13+ДАННЫЕ!I13)</f>
        <v>321100</v>
      </c>
    </row>
    <row r="16" spans="1:15" s="17" customFormat="1" ht="15">
      <c r="A16" s="246" t="s">
        <v>13</v>
      </c>
      <c r="B16" s="280">
        <f t="shared" si="0"/>
      </c>
      <c r="C16" s="384"/>
      <c r="D16" s="284">
        <f t="shared" si="1"/>
      </c>
      <c r="E16" s="284">
        <f t="shared" si="2"/>
      </c>
      <c r="F16" s="388"/>
      <c r="G16" s="281">
        <v>11</v>
      </c>
      <c r="H16" s="316"/>
      <c r="I16" s="261">
        <f t="shared" si="3"/>
        <v>1.1216164845891206</v>
      </c>
      <c r="J16" s="273">
        <f>SUM(ДАННЫЕ!D14)</f>
        <v>169600</v>
      </c>
      <c r="K16" s="261">
        <f t="shared" si="4"/>
        <v>1.1063462442347103</v>
      </c>
      <c r="L16" s="261">
        <f>SUM('Индекс бюджетных расходов'!B13)</f>
        <v>1.0783664135722528</v>
      </c>
      <c r="M16" s="261">
        <f>SUM('Индекс налогового потенциал'!B14)</f>
        <v>1.1930466315645163</v>
      </c>
      <c r="N16" s="236">
        <f>SUM(ЧИСЛЕННОСТЬ!F13)</f>
        <v>2937</v>
      </c>
      <c r="O16" s="236">
        <f>SUM(ДАННЫЕ!E14+ДАННЫЕ!F14+ДАННЫЕ!G14+ДАННЫЕ!H14+ДАННЫЕ!I14)</f>
        <v>12796500</v>
      </c>
    </row>
    <row r="17" spans="1:15" ht="15">
      <c r="A17" s="174" t="s">
        <v>14</v>
      </c>
      <c r="B17" s="279">
        <f t="shared" si="0"/>
        <v>339780.71854732657</v>
      </c>
      <c r="C17" s="384"/>
      <c r="D17" s="284">
        <f t="shared" si="1"/>
        <v>841.6731878046216</v>
      </c>
      <c r="E17" s="284">
        <f t="shared" si="2"/>
        <v>925.6069436963344</v>
      </c>
      <c r="F17" s="388"/>
      <c r="G17" s="277">
        <v>5</v>
      </c>
      <c r="H17" s="275">
        <v>5</v>
      </c>
      <c r="I17" s="261">
        <f t="shared" si="3"/>
        <v>0.9093203044085536</v>
      </c>
      <c r="J17" s="273">
        <f>SUM(ДАННЫЕ!D15)</f>
        <v>1658000</v>
      </c>
      <c r="K17" s="261">
        <f t="shared" si="4"/>
        <v>0.3985234115400024</v>
      </c>
      <c r="L17" s="261">
        <f>SUM('Индекс бюджетных расходов'!B14)</f>
        <v>1.1151890887907643</v>
      </c>
      <c r="M17" s="261">
        <f>SUM('Индекс налогового потенциал'!B15)</f>
        <v>0.44442896017708206</v>
      </c>
      <c r="N17" s="236">
        <f>SUM(ЧИСЛЕННОСТЬ!F14)</f>
        <v>830</v>
      </c>
      <c r="O17" s="236">
        <f>SUM(ДАННЫЕ!E15+ДАННЫЕ!F15+ДАННЫЕ!G15+ДАННЫЕ!H15+ДАННЫЕ!I15)</f>
        <v>1340400</v>
      </c>
    </row>
    <row r="18" spans="1:15" ht="15">
      <c r="A18" s="174" t="s">
        <v>15</v>
      </c>
      <c r="B18" s="279">
        <f t="shared" si="0"/>
        <v>447003.3695226854</v>
      </c>
      <c r="C18" s="384"/>
      <c r="D18" s="284">
        <f t="shared" si="1"/>
        <v>472.359645338471</v>
      </c>
      <c r="E18" s="284">
        <f t="shared" si="2"/>
        <v>591.5459867674493</v>
      </c>
      <c r="F18" s="388"/>
      <c r="G18" s="277">
        <v>6</v>
      </c>
      <c r="H18" s="275">
        <v>6</v>
      </c>
      <c r="I18" s="261">
        <f t="shared" si="3"/>
        <v>0.798517200530289</v>
      </c>
      <c r="J18" s="273">
        <f>SUM(ДАННЫЕ!D16)</f>
        <v>856200</v>
      </c>
      <c r="K18" s="261">
        <f t="shared" si="4"/>
        <v>0.38577674825366814</v>
      </c>
      <c r="L18" s="261">
        <f>SUM('Индекс бюджетных расходов'!B15)</f>
        <v>1.1508676785358936</v>
      </c>
      <c r="M18" s="261">
        <f>SUM('Индекс налогового потенциал'!B16)</f>
        <v>0.4439779906958249</v>
      </c>
      <c r="N18" s="236">
        <f>SUM(ЧИСЛЕННОСТЬ!F15)</f>
        <v>514</v>
      </c>
      <c r="O18" s="236">
        <f>SUM(ДАННЫЕ!E16+ДАННЫЕ!F16+ДАННЫЕ!G16+ДАННЫЕ!H16+ДАННЫЕ!I16)</f>
        <v>981900</v>
      </c>
    </row>
    <row r="19" spans="1:15" s="17" customFormat="1" ht="15">
      <c r="A19" s="246" t="s">
        <v>16</v>
      </c>
      <c r="B19" s="280">
        <f t="shared" si="0"/>
        <v>134793.20417412327</v>
      </c>
      <c r="C19" s="384"/>
      <c r="D19" s="284">
        <f t="shared" si="1"/>
        <v>682.0631228342457</v>
      </c>
      <c r="E19" s="284">
        <f t="shared" si="2"/>
        <v>710.553160783814</v>
      </c>
      <c r="F19" s="388"/>
      <c r="G19" s="281">
        <v>9</v>
      </c>
      <c r="H19" s="282">
        <v>9</v>
      </c>
      <c r="I19" s="261">
        <f t="shared" si="3"/>
        <v>0.9599044244372359</v>
      </c>
      <c r="J19" s="273">
        <f>SUM(ДАННЫЕ!D17)</f>
        <v>641300</v>
      </c>
      <c r="K19" s="261">
        <f t="shared" si="4"/>
        <v>0.7025361630255788</v>
      </c>
      <c r="L19" s="261">
        <f>SUM('Индекс бюджетных расходов'!B16)</f>
        <v>0.9436296955960345</v>
      </c>
      <c r="M19" s="261">
        <f>SUM('Индекс налогового потенциал'!B17)</f>
        <v>0.6629339856610329</v>
      </c>
      <c r="N19" s="236">
        <f>SUM(ЧИСЛЕННОСТЬ!F16)</f>
        <v>753</v>
      </c>
      <c r="O19" s="236">
        <f>SUM(ДАННЫЕ!E17+ДАННЫЕ!F17+ДАННЫЕ!G17+ДАННЫЕ!H17+ДАННЫЕ!I17)</f>
        <v>1759900</v>
      </c>
    </row>
    <row r="20" spans="1:15" s="17" customFormat="1" ht="15">
      <c r="A20" s="246" t="s">
        <v>18</v>
      </c>
      <c r="B20" s="280">
        <f t="shared" si="0"/>
      </c>
      <c r="C20" s="384"/>
      <c r="D20" s="284">
        <f t="shared" si="1"/>
      </c>
      <c r="E20" s="284">
        <f t="shared" si="2"/>
      </c>
      <c r="F20" s="388"/>
      <c r="G20" s="281">
        <v>10</v>
      </c>
      <c r="H20" s="316"/>
      <c r="I20" s="261">
        <f t="shared" si="3"/>
        <v>1.7860364208366932</v>
      </c>
      <c r="J20" s="273">
        <f>SUM(ДАННЫЕ!D18)</f>
        <v>84000</v>
      </c>
      <c r="K20" s="261">
        <f t="shared" si="4"/>
        <v>1.7663332856392904</v>
      </c>
      <c r="L20" s="261">
        <f>SUM('Индекс бюджетных расходов'!B17)</f>
        <v>0.8355477612876473</v>
      </c>
      <c r="M20" s="261">
        <f>SUM('Индекс налогового потенциал'!B18)</f>
        <v>1.4758558225037635</v>
      </c>
      <c r="N20" s="236">
        <f>SUM(ЧИСЛЕННОСТЬ!F17)</f>
        <v>1455</v>
      </c>
      <c r="O20" s="236">
        <f>SUM(ДАННЫЕ!E18+ДАННЫЕ!F18+ДАННЫЕ!G18+ДАННЫЕ!H18+ДАННЫЕ!I18)</f>
        <v>7982700</v>
      </c>
    </row>
    <row r="21" spans="1:15" s="17" customFormat="1" ht="15">
      <c r="A21" s="246" t="s">
        <v>17</v>
      </c>
      <c r="B21" s="280">
        <f t="shared" si="0"/>
      </c>
      <c r="C21" s="384"/>
      <c r="D21" s="284">
        <f t="shared" si="1"/>
      </c>
      <c r="E21" s="284">
        <f t="shared" si="2"/>
      </c>
      <c r="F21" s="388"/>
      <c r="G21" s="281">
        <v>12</v>
      </c>
      <c r="H21" s="316"/>
      <c r="I21" s="261">
        <f t="shared" si="3"/>
        <v>2.2537480027541044</v>
      </c>
      <c r="J21" s="273">
        <f>SUM(ДАННЫЕ!D19)</f>
        <v>103200</v>
      </c>
      <c r="K21" s="261">
        <f t="shared" si="4"/>
        <v>2.2368443934902085</v>
      </c>
      <c r="L21" s="261">
        <f>SUM('Индекс бюджетных расходов'!B18)</f>
        <v>0.9747856384357216</v>
      </c>
      <c r="M21" s="261">
        <f>SUM('Индекс налогового потенциал'!B19)</f>
        <v>2.1804437901897176</v>
      </c>
      <c r="N21" s="236">
        <f>SUM(ЧИСЛЕННОСТЬ!F18)</f>
        <v>1786</v>
      </c>
      <c r="O21" s="236">
        <f>SUM(ДАННЫЕ!E19+ДАННЫЕ!F19+ДАННЫЕ!G19+ДАННЫЕ!H19+ДАННЫЕ!I19)</f>
        <v>14741600</v>
      </c>
    </row>
    <row r="22" spans="1:15" ht="15">
      <c r="A22" s="174" t="s">
        <v>19</v>
      </c>
      <c r="B22" s="279">
        <f t="shared" si="0"/>
        <v>600020.6904670075</v>
      </c>
      <c r="C22" s="384"/>
      <c r="D22" s="284">
        <f t="shared" si="1"/>
        <v>467.75653906639604</v>
      </c>
      <c r="E22" s="284">
        <f t="shared" si="2"/>
        <v>630.0385761465668</v>
      </c>
      <c r="F22" s="388"/>
      <c r="G22" s="277">
        <v>2</v>
      </c>
      <c r="H22" s="275">
        <v>2</v>
      </c>
      <c r="I22" s="261">
        <f t="shared" si="3"/>
        <v>0.7424252367645202</v>
      </c>
      <c r="J22" s="273">
        <f>SUM(ДАННЫЕ!D20)</f>
        <v>988400</v>
      </c>
      <c r="K22" s="261">
        <f t="shared" si="4"/>
        <v>0.2950665035631228</v>
      </c>
      <c r="L22" s="261">
        <f>SUM('Индекс бюджетных расходов'!B19)</f>
        <v>1.1645814716202714</v>
      </c>
      <c r="M22" s="261">
        <f>SUM('Индекс налогового потенциал'!B20)</f>
        <v>0.3436289829453896</v>
      </c>
      <c r="N22" s="236">
        <f>SUM(ЧИСЛЕННОСТЬ!F19)</f>
        <v>541</v>
      </c>
      <c r="O22" s="236">
        <f>SUM(ДАННЫЕ!E20+ДАННЫЕ!F20+ДАННЫЕ!G20+ДАННЫЕ!H20+ДАННЫЕ!I20)</f>
        <v>758800</v>
      </c>
    </row>
    <row r="23" spans="1:15" ht="15">
      <c r="A23" s="174" t="s">
        <v>20</v>
      </c>
      <c r="B23" s="279">
        <f t="shared" si="0"/>
        <v>801098.5644170583</v>
      </c>
      <c r="C23" s="384"/>
      <c r="D23" s="284">
        <f t="shared" si="1"/>
        <v>1270.8816284683705</v>
      </c>
      <c r="E23" s="284">
        <f t="shared" si="2"/>
        <v>1478.6230759791697</v>
      </c>
      <c r="F23" s="388"/>
      <c r="G23" s="277">
        <v>8</v>
      </c>
      <c r="H23" s="275">
        <v>8</v>
      </c>
      <c r="I23" s="261">
        <f t="shared" si="3"/>
        <v>0.8595034455463038</v>
      </c>
      <c r="J23" s="273">
        <f>SUM(ДАННЫЕ!D21)</f>
        <v>1133000</v>
      </c>
      <c r="K23" s="261">
        <f t="shared" si="4"/>
        <v>0.640997753523982</v>
      </c>
      <c r="L23" s="261">
        <f>SUM('Индекс бюджетных расходов'!B20)</f>
        <v>0.8297548125584566</v>
      </c>
      <c r="M23" s="261">
        <f>SUM('Индекс налогового потенциал'!B21)</f>
        <v>0.5318709708256835</v>
      </c>
      <c r="N23" s="236">
        <f>SUM(ЧИСЛЕННОСТЬ!F20)</f>
        <v>1782</v>
      </c>
      <c r="O23" s="236">
        <f>SUM(ДАННЫЕ!E21+ДАННЫЕ!F21+ДАННЫЕ!G21+ДАННЫЕ!H21+ДАННЫЕ!I21)</f>
        <v>3432800</v>
      </c>
    </row>
    <row r="24" spans="1:15" ht="15">
      <c r="A24" s="174" t="s">
        <v>21</v>
      </c>
      <c r="B24" s="279">
        <f t="shared" si="0"/>
        <v>493336.56968811475</v>
      </c>
      <c r="C24" s="385"/>
      <c r="D24" s="284">
        <f t="shared" si="1"/>
        <v>659.5315127181985</v>
      </c>
      <c r="E24" s="284">
        <f t="shared" si="2"/>
        <v>789.1636347166194</v>
      </c>
      <c r="F24" s="389"/>
      <c r="G24" s="277">
        <v>4</v>
      </c>
      <c r="H24" s="275">
        <v>4</v>
      </c>
      <c r="I24" s="261">
        <f t="shared" si="3"/>
        <v>0.8357348003687848</v>
      </c>
      <c r="J24" s="273">
        <f>SUM(ДАННЫЕ!D22)</f>
        <v>1073200</v>
      </c>
      <c r="K24" s="261">
        <f t="shared" si="4"/>
        <v>0.4479382655098989</v>
      </c>
      <c r="L24" s="261">
        <f>SUM('Индекс бюджетных расходов'!B21)</f>
        <v>1.1193810421512331</v>
      </c>
      <c r="M24" s="261">
        <f>SUM('Индекс налогового потенциал'!B22)</f>
        <v>0.5014136024658864</v>
      </c>
      <c r="N24" s="236">
        <f>SUM(ЧИСЛЕННОСТЬ!F21)</f>
        <v>705</v>
      </c>
      <c r="O24" s="236">
        <f>SUM(ДАННЫЕ!E22+ДАННЫЕ!F22+ДАННЫЕ!G22+ДАННЫЕ!H22+ДАННЫЕ!I22)</f>
        <v>796700</v>
      </c>
    </row>
    <row r="25" spans="1:15" s="235" customFormat="1" ht="14.25">
      <c r="A25" s="175" t="s">
        <v>2</v>
      </c>
      <c r="B25" s="262">
        <f>SUM(B13:B24)</f>
        <v>4673311.93324813</v>
      </c>
      <c r="C25" s="175"/>
      <c r="D25" s="285">
        <f>SUM(D13:D24)</f>
        <v>6511.807878057515</v>
      </c>
      <c r="E25" s="285">
        <f>SUM(E13:E24)</f>
        <v>7736.148700418568</v>
      </c>
      <c r="F25" s="286"/>
      <c r="G25" s="278"/>
      <c r="H25" s="276"/>
      <c r="I25" s="232"/>
      <c r="J25" s="271">
        <f>SUM(J13:J24)</f>
        <v>9958700</v>
      </c>
      <c r="K25" s="232"/>
      <c r="L25" s="232"/>
      <c r="M25" s="232"/>
      <c r="N25" s="240">
        <f>SUM(ЧИСЛЕННОСТЬ!F22)</f>
        <v>13860</v>
      </c>
      <c r="O25" s="240">
        <f>SUM(O13:O24)</f>
        <v>48604100</v>
      </c>
    </row>
    <row r="27" spans="2:3" ht="15">
      <c r="B27" s="379" t="s">
        <v>431</v>
      </c>
      <c r="C27" s="379"/>
    </row>
    <row r="28" spans="2:3" ht="15">
      <c r="B28" s="231" t="s">
        <v>409</v>
      </c>
      <c r="C28" s="254">
        <f>SUM(C29+C30+C31)</f>
        <v>1</v>
      </c>
    </row>
    <row r="29" spans="2:3" ht="15">
      <c r="B29" s="174" t="s">
        <v>451</v>
      </c>
      <c r="C29" s="253">
        <v>0.33</v>
      </c>
    </row>
    <row r="30" spans="2:3" ht="15">
      <c r="B30" s="174" t="s">
        <v>454</v>
      </c>
      <c r="C30" s="253">
        <v>0.33</v>
      </c>
    </row>
    <row r="31" spans="2:3" ht="15">
      <c r="B31" s="174" t="s">
        <v>455</v>
      </c>
      <c r="C31" s="253">
        <v>0.34</v>
      </c>
    </row>
    <row r="32" spans="2:3" ht="15">
      <c r="B32" s="231" t="s">
        <v>410</v>
      </c>
      <c r="C32" s="254">
        <f>SUM(C33+C34+C35)</f>
        <v>1</v>
      </c>
    </row>
    <row r="33" spans="2:3" ht="15">
      <c r="B33" s="174" t="s">
        <v>450</v>
      </c>
      <c r="C33" s="253">
        <v>0.33</v>
      </c>
    </row>
    <row r="34" spans="2:3" ht="15">
      <c r="B34" s="174" t="s">
        <v>452</v>
      </c>
      <c r="C34" s="253">
        <v>0.33</v>
      </c>
    </row>
    <row r="35" spans="2:3" ht="15">
      <c r="B35" s="174" t="s">
        <v>453</v>
      </c>
      <c r="C35" s="253">
        <v>0.34</v>
      </c>
    </row>
  </sheetData>
  <sheetProtection/>
  <mergeCells count="8">
    <mergeCell ref="B2:G2"/>
    <mergeCell ref="B27:C27"/>
    <mergeCell ref="D10:F10"/>
    <mergeCell ref="C13:C24"/>
    <mergeCell ref="B5:C5"/>
    <mergeCell ref="F13:F24"/>
    <mergeCell ref="D8:F8"/>
    <mergeCell ref="D9:F9"/>
  </mergeCells>
  <printOptions/>
  <pageMargins left="0.32" right="0.28" top="0.7480314960629921" bottom="0.7480314960629921" header="0.31496062992125984" footer="0.31496062992125984"/>
  <pageSetup fitToHeight="1" fitToWidth="1" horizontalDpi="600" verticalDpi="600" orientation="landscape" paperSize="9" scale="49" r:id="rId1"/>
</worksheet>
</file>

<file path=xl/worksheets/sheet3.xml><?xml version="1.0" encoding="utf-8"?>
<worksheet xmlns="http://schemas.openxmlformats.org/spreadsheetml/2006/main" xmlns:r="http://schemas.openxmlformats.org/officeDocument/2006/relationships">
  <sheetPr>
    <pageSetUpPr fitToPage="1"/>
  </sheetPr>
  <dimension ref="A2:AF23"/>
  <sheetViews>
    <sheetView zoomScalePageLayoutView="0" workbookViewId="0" topLeftCell="C4">
      <selection activeCell="AD23" sqref="AD23"/>
    </sheetView>
  </sheetViews>
  <sheetFormatPr defaultColWidth="9.00390625" defaultRowHeight="12.75"/>
  <cols>
    <col min="1" max="1" width="18.375" style="1" customWidth="1"/>
    <col min="2" max="2" width="25.375" style="1" customWidth="1"/>
    <col min="3" max="3" width="22.875" style="1" customWidth="1"/>
    <col min="4" max="4" width="19.125" style="7" customWidth="1"/>
    <col min="5" max="5" width="14.375" style="1" customWidth="1"/>
    <col min="6" max="6" width="15.125" style="1" customWidth="1"/>
    <col min="7" max="7" width="15.25390625" style="1" customWidth="1"/>
    <col min="8" max="8" width="14.625" style="1" customWidth="1"/>
    <col min="9" max="9" width="15.25390625" style="1" customWidth="1"/>
    <col min="10" max="10" width="19.125" style="202" customWidth="1"/>
    <col min="11" max="15" width="19.25390625" style="1" customWidth="1"/>
    <col min="16" max="16" width="13.875" style="1" customWidth="1"/>
    <col min="17" max="17" width="14.125" style="1" customWidth="1"/>
    <col min="18" max="18" width="13.125" style="1" customWidth="1"/>
    <col min="19" max="20" width="12.75390625" style="1" customWidth="1"/>
    <col min="21" max="21" width="20.875" style="1" customWidth="1"/>
    <col min="22" max="22" width="18.875" style="1" customWidth="1"/>
    <col min="23" max="23" width="16.125" style="1" customWidth="1"/>
    <col min="24" max="24" width="13.75390625" style="1" customWidth="1"/>
    <col min="25" max="26" width="22.625" style="1" customWidth="1"/>
    <col min="27" max="28" width="22.25390625" style="1" customWidth="1"/>
    <col min="29" max="29" width="21.00390625" style="1" customWidth="1"/>
    <col min="30" max="30" width="20.875" style="1" customWidth="1"/>
    <col min="31" max="31" width="18.375" style="1" customWidth="1"/>
    <col min="32" max="32" width="15.125" style="1" customWidth="1"/>
    <col min="33" max="16384" width="9.125" style="1" customWidth="1"/>
  </cols>
  <sheetData>
    <row r="2" spans="2:6" ht="14.25">
      <c r="B2" s="378" t="s">
        <v>375</v>
      </c>
      <c r="C2" s="378"/>
      <c r="D2" s="378"/>
      <c r="E2" s="378"/>
      <c r="F2" s="378"/>
    </row>
    <row r="4" spans="30:32" ht="31.5" customHeight="1">
      <c r="AD4" s="391" t="s">
        <v>359</v>
      </c>
      <c r="AE4" s="391"/>
      <c r="AF4" s="391"/>
    </row>
    <row r="5" spans="1:32" s="2" customFormat="1" ht="109.5" customHeight="1">
      <c r="A5" s="397" t="s">
        <v>0</v>
      </c>
      <c r="B5" s="195" t="s">
        <v>294</v>
      </c>
      <c r="C5" s="191" t="s">
        <v>30</v>
      </c>
      <c r="D5" s="191" t="s">
        <v>31</v>
      </c>
      <c r="E5" s="390" t="s">
        <v>30</v>
      </c>
      <c r="F5" s="390"/>
      <c r="G5" s="390"/>
      <c r="H5" s="390"/>
      <c r="I5" s="390"/>
      <c r="J5" s="203" t="s">
        <v>30</v>
      </c>
      <c r="K5" s="390" t="s">
        <v>307</v>
      </c>
      <c r="L5" s="390"/>
      <c r="M5" s="390"/>
      <c r="N5" s="390"/>
      <c r="O5" s="390"/>
      <c r="P5" s="390" t="s">
        <v>297</v>
      </c>
      <c r="Q5" s="390"/>
      <c r="R5" s="390"/>
      <c r="S5" s="390"/>
      <c r="T5" s="390"/>
      <c r="U5" s="390" t="s">
        <v>296</v>
      </c>
      <c r="V5" s="390"/>
      <c r="W5" s="390"/>
      <c r="X5" s="390"/>
      <c r="Y5" s="390"/>
      <c r="Z5" s="191" t="s">
        <v>315</v>
      </c>
      <c r="AA5" s="191" t="s">
        <v>312</v>
      </c>
      <c r="AB5" s="191" t="s">
        <v>341</v>
      </c>
      <c r="AC5" s="191" t="s">
        <v>346</v>
      </c>
      <c r="AD5" s="191" t="s">
        <v>348</v>
      </c>
      <c r="AE5" s="395" t="s">
        <v>350</v>
      </c>
      <c r="AF5" s="396"/>
    </row>
    <row r="6" spans="1:32" s="2" customFormat="1" ht="29.25" customHeight="1">
      <c r="A6" s="398"/>
      <c r="B6" s="195" t="s">
        <v>23</v>
      </c>
      <c r="C6" s="191" t="s">
        <v>24</v>
      </c>
      <c r="D6" s="191" t="s">
        <v>32</v>
      </c>
      <c r="E6" s="390" t="s">
        <v>358</v>
      </c>
      <c r="F6" s="390"/>
      <c r="G6" s="390"/>
      <c r="H6" s="390"/>
      <c r="I6" s="390"/>
      <c r="J6" s="203" t="s">
        <v>60</v>
      </c>
      <c r="K6" s="390" t="s">
        <v>311</v>
      </c>
      <c r="L6" s="390"/>
      <c r="M6" s="390"/>
      <c r="N6" s="390"/>
      <c r="O6" s="390"/>
      <c r="P6" s="390" t="s">
        <v>298</v>
      </c>
      <c r="Q6" s="390"/>
      <c r="R6" s="390"/>
      <c r="S6" s="390"/>
      <c r="T6" s="390"/>
      <c r="U6" s="390" t="s">
        <v>323</v>
      </c>
      <c r="V6" s="390"/>
      <c r="W6" s="390"/>
      <c r="X6" s="390"/>
      <c r="Y6" s="390"/>
      <c r="Z6" s="191" t="s">
        <v>63</v>
      </c>
      <c r="AA6" s="191" t="s">
        <v>314</v>
      </c>
      <c r="AB6" s="191" t="s">
        <v>344</v>
      </c>
      <c r="AC6" s="191" t="s">
        <v>343</v>
      </c>
      <c r="AD6" s="191" t="s">
        <v>347</v>
      </c>
      <c r="AE6" s="191" t="s">
        <v>354</v>
      </c>
      <c r="AF6" s="191" t="s">
        <v>351</v>
      </c>
    </row>
    <row r="7" spans="1:32" s="2" customFormat="1" ht="60.75" customHeight="1">
      <c r="A7" s="398"/>
      <c r="B7" s="191" t="s">
        <v>327</v>
      </c>
      <c r="C7" s="191" t="s">
        <v>301</v>
      </c>
      <c r="D7" s="191" t="s">
        <v>295</v>
      </c>
      <c r="E7" s="390" t="s">
        <v>310</v>
      </c>
      <c r="F7" s="390"/>
      <c r="G7" s="390"/>
      <c r="H7" s="390"/>
      <c r="I7" s="390"/>
      <c r="J7" s="203" t="s">
        <v>338</v>
      </c>
      <c r="K7" s="191" t="s">
        <v>250</v>
      </c>
      <c r="L7" s="191" t="s">
        <v>299</v>
      </c>
      <c r="M7" s="191" t="s">
        <v>5</v>
      </c>
      <c r="N7" s="191" t="s">
        <v>6</v>
      </c>
      <c r="O7" s="191" t="s">
        <v>300</v>
      </c>
      <c r="P7" s="191" t="s">
        <v>250</v>
      </c>
      <c r="Q7" s="191" t="s">
        <v>299</v>
      </c>
      <c r="R7" s="191" t="s">
        <v>5</v>
      </c>
      <c r="S7" s="191" t="s">
        <v>6</v>
      </c>
      <c r="T7" s="191" t="s">
        <v>300</v>
      </c>
      <c r="U7" s="191" t="s">
        <v>302</v>
      </c>
      <c r="V7" s="191" t="s">
        <v>303</v>
      </c>
      <c r="W7" s="191" t="s">
        <v>304</v>
      </c>
      <c r="X7" s="191" t="s">
        <v>305</v>
      </c>
      <c r="Y7" s="191" t="s">
        <v>306</v>
      </c>
      <c r="Z7" s="191" t="s">
        <v>316</v>
      </c>
      <c r="AA7" s="191"/>
      <c r="AB7" s="191" t="s">
        <v>345</v>
      </c>
      <c r="AC7" s="191" t="s">
        <v>342</v>
      </c>
      <c r="AD7" s="191" t="s">
        <v>349</v>
      </c>
      <c r="AE7" s="191"/>
      <c r="AF7" s="191"/>
    </row>
    <row r="8" spans="1:32" s="8" customFormat="1" ht="52.5" customHeight="1">
      <c r="A8" s="398"/>
      <c r="B8" s="191"/>
      <c r="C8" s="191"/>
      <c r="D8" s="191"/>
      <c r="E8" s="191" t="s">
        <v>250</v>
      </c>
      <c r="F8" s="191" t="s">
        <v>299</v>
      </c>
      <c r="G8" s="191" t="s">
        <v>5</v>
      </c>
      <c r="H8" s="191" t="s">
        <v>6</v>
      </c>
      <c r="I8" s="191" t="s">
        <v>300</v>
      </c>
      <c r="J8" s="191"/>
      <c r="K8" s="390" t="s">
        <v>308</v>
      </c>
      <c r="L8" s="390"/>
      <c r="M8" s="390"/>
      <c r="N8" s="390"/>
      <c r="O8" s="390"/>
      <c r="P8" s="390" t="s">
        <v>317</v>
      </c>
      <c r="Q8" s="390"/>
      <c r="R8" s="390"/>
      <c r="S8" s="390"/>
      <c r="T8" s="390"/>
      <c r="U8" s="191" t="s">
        <v>309</v>
      </c>
      <c r="V8" s="390" t="s">
        <v>313</v>
      </c>
      <c r="W8" s="390"/>
      <c r="X8" s="390"/>
      <c r="Y8" s="191" t="s">
        <v>309</v>
      </c>
      <c r="Z8" s="191"/>
      <c r="AA8" s="191"/>
      <c r="AB8" s="191"/>
      <c r="AC8" s="191"/>
      <c r="AD8" s="191"/>
      <c r="AE8" s="191"/>
      <c r="AF8" s="191"/>
    </row>
    <row r="9" spans="1:32" s="8" customFormat="1" ht="51" customHeight="1">
      <c r="A9" s="399"/>
      <c r="B9" s="191" t="s">
        <v>357</v>
      </c>
      <c r="C9" s="191" t="s">
        <v>325</v>
      </c>
      <c r="D9" s="191" t="s">
        <v>326</v>
      </c>
      <c r="E9" s="191" t="s">
        <v>333</v>
      </c>
      <c r="F9" s="191" t="s">
        <v>335</v>
      </c>
      <c r="G9" s="191" t="s">
        <v>336</v>
      </c>
      <c r="H9" s="191" t="s">
        <v>337</v>
      </c>
      <c r="I9" s="191" t="s">
        <v>334</v>
      </c>
      <c r="J9" s="191" t="s">
        <v>340</v>
      </c>
      <c r="K9" s="390" t="s">
        <v>324</v>
      </c>
      <c r="L9" s="390"/>
      <c r="M9" s="390"/>
      <c r="N9" s="390"/>
      <c r="O9" s="390"/>
      <c r="P9" s="191" t="s">
        <v>318</v>
      </c>
      <c r="Q9" s="191" t="s">
        <v>319</v>
      </c>
      <c r="R9" s="191" t="s">
        <v>320</v>
      </c>
      <c r="S9" s="191" t="s">
        <v>321</v>
      </c>
      <c r="T9" s="191" t="s">
        <v>322</v>
      </c>
      <c r="U9" s="191"/>
      <c r="V9" s="191"/>
      <c r="W9" s="191"/>
      <c r="X9" s="191"/>
      <c r="Y9" s="191"/>
      <c r="Z9" s="191"/>
      <c r="AA9" s="191"/>
      <c r="AB9" s="191" t="s">
        <v>356</v>
      </c>
      <c r="AC9" s="191"/>
      <c r="AD9" s="191" t="s">
        <v>352</v>
      </c>
      <c r="AE9" s="191" t="s">
        <v>355</v>
      </c>
      <c r="AF9" s="191" t="s">
        <v>353</v>
      </c>
    </row>
    <row r="10" spans="1:32" s="2" customFormat="1" ht="12.75">
      <c r="A10" s="190"/>
      <c r="B10" s="191">
        <v>1</v>
      </c>
      <c r="C10" s="191">
        <v>2</v>
      </c>
      <c r="D10" s="191">
        <v>3</v>
      </c>
      <c r="E10" s="191">
        <v>4</v>
      </c>
      <c r="F10" s="191">
        <v>5</v>
      </c>
      <c r="G10" s="191">
        <v>6</v>
      </c>
      <c r="H10" s="191">
        <v>7</v>
      </c>
      <c r="I10" s="191">
        <v>8</v>
      </c>
      <c r="J10" s="204" t="s">
        <v>339</v>
      </c>
      <c r="K10" s="191">
        <v>9</v>
      </c>
      <c r="L10" s="191">
        <v>10</v>
      </c>
      <c r="M10" s="191">
        <v>11</v>
      </c>
      <c r="N10" s="191">
        <v>12</v>
      </c>
      <c r="O10" s="191">
        <v>13</v>
      </c>
      <c r="P10" s="191">
        <v>14</v>
      </c>
      <c r="Q10" s="191">
        <v>15</v>
      </c>
      <c r="R10" s="191">
        <v>16</v>
      </c>
      <c r="S10" s="191">
        <v>17</v>
      </c>
      <c r="T10" s="191">
        <v>18</v>
      </c>
      <c r="U10" s="191">
        <v>19</v>
      </c>
      <c r="V10" s="191">
        <v>20</v>
      </c>
      <c r="W10" s="191">
        <v>21</v>
      </c>
      <c r="X10" s="191">
        <v>22</v>
      </c>
      <c r="Y10" s="191">
        <v>23</v>
      </c>
      <c r="Z10" s="191">
        <v>24</v>
      </c>
      <c r="AA10" s="191">
        <v>25</v>
      </c>
      <c r="AB10" s="191">
        <v>26</v>
      </c>
      <c r="AC10" s="191">
        <v>27</v>
      </c>
      <c r="AD10" s="191">
        <v>28</v>
      </c>
      <c r="AE10" s="191">
        <v>29</v>
      </c>
      <c r="AF10" s="191">
        <v>30</v>
      </c>
    </row>
    <row r="11" spans="1:32" ht="12.75">
      <c r="A11" s="63" t="s">
        <v>10</v>
      </c>
      <c r="B11" s="209">
        <f>SUM(C11/$D$11+0.25*(J11-C11)/$D$11*AB11)</f>
        <v>0.6159248221763738</v>
      </c>
      <c r="C11" s="192">
        <f>SUM(P11+Q11+R11+S11+T11)</f>
        <v>2327.438966636387</v>
      </c>
      <c r="D11" s="392">
        <f>SUM(K23+L23+M23+N23+O23)/Z11</f>
        <v>3506.789321789322</v>
      </c>
      <c r="E11" s="192">
        <f>SUM(ДАННЫЕ!AB11/ДАННЫЕ!$AB$23*$K$23/$Z$11)</f>
        <v>1547.7981149424122</v>
      </c>
      <c r="F11" s="192">
        <f>SUM(ДАННЫЕ!S11/ДАННЫЕ!$S$23*$L$23/$Z$11)</f>
        <v>0</v>
      </c>
      <c r="G11" s="192">
        <f>IF(ДАННЫЕ!T23&gt;0,(ДАННЫЕ!T11/ДАННЫЕ!$T$23*$M$23/$Z$11),-1*(ДАННЫЕ!T11/ДАННЫЕ!$T$23*$M$23/$Z$11))</f>
        <v>-202.9902340148464</v>
      </c>
      <c r="H11" s="192">
        <f>SUM(ДАННЫЕ!U11/ДАННЫЕ!$U$23*$N$23/$Z$11)</f>
        <v>149.20246257640272</v>
      </c>
      <c r="I11" s="192">
        <f>SUM(ДАННЫЕ!AC11/ДАННЫЕ!$AC$23*$O$23/$Z$11)</f>
        <v>25.774327943163218</v>
      </c>
      <c r="J11" s="205">
        <f>SUM(E11+F11+G11+H11+I11)</f>
        <v>1519.7846714471316</v>
      </c>
      <c r="K11" s="193">
        <f>SUM(ДАННЫЕ!E11)</f>
        <v>2694600</v>
      </c>
      <c r="L11" s="193">
        <f>SUM(ДАННЫЕ!F11)</f>
        <v>0</v>
      </c>
      <c r="M11" s="193">
        <f>SUM(ДАННЫЕ!G11)</f>
        <v>270000</v>
      </c>
      <c r="N11" s="193">
        <f>SUM(ДАННЫЕ!H11)</f>
        <v>352500</v>
      </c>
      <c r="O11" s="193">
        <f>SUM(ДАННЫЕ!I11)</f>
        <v>30000</v>
      </c>
      <c r="P11" s="192">
        <f>SUM(U11/$U$23*$K$23/$Z$11)</f>
        <v>1670.598114941606</v>
      </c>
      <c r="Q11" s="199">
        <f>SUM(V11/$V$23*$L$23/$Z$11)</f>
        <v>0</v>
      </c>
      <c r="R11" s="192">
        <f>SUM(W11/$W$23*$M$23/$Z$11)</f>
        <v>147.13226304146818</v>
      </c>
      <c r="S11" s="192">
        <f>SUM(X11/$X$23*$N$23/$Z$11)</f>
        <v>491.51270739093206</v>
      </c>
      <c r="T11" s="192">
        <f>SUM(Y11/$Y$23*$O$23/$Z$11)</f>
        <v>18.195881262380542</v>
      </c>
      <c r="U11" s="197">
        <f>SUM((0.4*ДАННЫЕ!V11+0.6*ДАННЫЕ!X11)/AA11)</f>
        <v>4739.680969294366</v>
      </c>
      <c r="V11" s="197">
        <f>SUM((0.4*ДАННЫЕ!J11+0.6*ДАННЫЕ!M11)/AA11)</f>
        <v>0</v>
      </c>
      <c r="W11" s="197">
        <f>SUM((0.4*ДАННЫЕ!K11+0.6*ДАННЫЕ!N11)/AA11)</f>
        <v>52.15380865326021</v>
      </c>
      <c r="X11" s="197">
        <f>SUM((0.4*ДАННЫЕ!L11+0.6*ДАННЫЕ!O11)/AA11)</f>
        <v>150.65411334552104</v>
      </c>
      <c r="Y11" s="197">
        <f>SUM((0.4*ДАННЫЕ!W11+0.6*ДАННЫЕ!Y11)/AA11)</f>
        <v>16.788543570993298</v>
      </c>
      <c r="Z11" s="400">
        <f>SUM(AA23)</f>
        <v>13860</v>
      </c>
      <c r="AA11" s="206">
        <f>SUM(ДАННЫЕ!B11)</f>
        <v>1641</v>
      </c>
      <c r="AB11" s="208">
        <f>SUM(AC11*AD11)</f>
        <v>0.8296637717454969</v>
      </c>
      <c r="AC11" s="196">
        <v>0.8</v>
      </c>
      <c r="AD11" s="207">
        <f>SUM(AF11/$AF$23)</f>
        <v>1.037079714681871</v>
      </c>
      <c r="AE11" s="192">
        <v>72830</v>
      </c>
      <c r="AF11" s="192">
        <f>SUM(AE11/ДАННЫЕ!B11)</f>
        <v>44.38147471054235</v>
      </c>
    </row>
    <row r="12" spans="1:32" ht="12.75">
      <c r="A12" s="63" t="s">
        <v>11</v>
      </c>
      <c r="B12" s="209">
        <f aca="true" t="shared" si="0" ref="B12:B22">SUM(C12/$D$11+0.25*(J12-C12)/$D$11*AB12)</f>
        <v>0.14060907787228333</v>
      </c>
      <c r="C12" s="192">
        <f aca="true" t="shared" si="1" ref="C12:C22">SUM(P12+Q12+R12+S12+T12)</f>
        <v>499.18091823494876</v>
      </c>
      <c r="D12" s="393"/>
      <c r="E12" s="192">
        <f>SUM(ДАННЫЕ!AB12/ДАННЫЕ!$AB$23*$K$23/$Z$11)</f>
        <v>188.88452393118249</v>
      </c>
      <c r="F12" s="192">
        <f>SUM(ДАННЫЕ!S12/ДАННЫЕ!$S$23*$L$23/$Z$11)</f>
        <v>2.1699196725899785</v>
      </c>
      <c r="G12" s="192">
        <f>IF(ДАННЫЕ!T24&gt;0,(ДАННЫЕ!T12/ДАННЫЕ!$T$23*$M$23/$Z$11),-1*(ДАННЫЕ!T12/ДАННЫЕ!$T$23*$M$23/$Z$11))</f>
        <v>0</v>
      </c>
      <c r="H12" s="192">
        <f>SUM(ДАННЫЕ!U12/ДАННЫЕ!$U$23*$N$23/$Z$11)</f>
        <v>118.95900489502846</v>
      </c>
      <c r="I12" s="192">
        <f>SUM(ДАННЫЕ!AC12/ДАННЫЕ!$AC$23*$O$23/$Z$11)</f>
        <v>0</v>
      </c>
      <c r="J12" s="205">
        <f aca="true" t="shared" si="2" ref="J12:J22">SUM(E12+F12+G12+H12+I12)</f>
        <v>310.0134484988009</v>
      </c>
      <c r="K12" s="193">
        <f>SUM(ДАННЫЕ!E12)</f>
        <v>121100</v>
      </c>
      <c r="L12" s="193">
        <f>SUM(ДАННЫЕ!F12)</f>
        <v>6000</v>
      </c>
      <c r="M12" s="193">
        <f>SUM(ДАННЫЕ!G12)</f>
        <v>18000</v>
      </c>
      <c r="N12" s="193">
        <f>SUM(ДАННЫЕ!H12)</f>
        <v>199500</v>
      </c>
      <c r="O12" s="193">
        <f>SUM(ДАННЫЕ!I12)</f>
        <v>0</v>
      </c>
      <c r="P12" s="192">
        <f aca="true" t="shared" si="3" ref="P12:P22">SUM(U12/$U$23*$K$23/$Z$11)</f>
        <v>211.18559633135814</v>
      </c>
      <c r="Q12" s="199">
        <f aca="true" t="shared" si="4" ref="Q12:Q22">SUM(V12/$V$23*$L$23/$Z$11)</f>
        <v>0</v>
      </c>
      <c r="R12" s="192">
        <f aca="true" t="shared" si="5" ref="R12:R22">SUM(W12/$W$23*$M$23/$Z$11)</f>
        <v>16.54246025011847</v>
      </c>
      <c r="S12" s="192">
        <f aca="true" t="shared" si="6" ref="S12:S22">SUM(X12/$X$23*$N$23/$Z$11)</f>
        <v>271.45286165347216</v>
      </c>
      <c r="T12" s="192">
        <f aca="true" t="shared" si="7" ref="T12:T22">SUM(Y12/$Y$23*$O$23/$Z$11)</f>
        <v>0</v>
      </c>
      <c r="U12" s="197">
        <f>SUM((0.4*ДАННЫЕ!V12+0.6*ДАННЫЕ!X12)/AA12)</f>
        <v>599.1580757624688</v>
      </c>
      <c r="V12" s="197">
        <f>SUM((0.4*ДАННЫЕ!J12+0.6*ДАННЫЕ!M12)/AA12)</f>
        <v>0</v>
      </c>
      <c r="W12" s="197">
        <f>SUM((0.4*ДАННЫЕ!K12+0.6*ДАННЫЕ!N12)/AA12)</f>
        <v>5.863787375415282</v>
      </c>
      <c r="X12" s="197">
        <f>SUM((0.4*ДАННЫЕ!L12+0.6*ДАННЫЕ!O12)/AA12)</f>
        <v>83.2033222591362</v>
      </c>
      <c r="Y12" s="197">
        <f>SUM((0.4*ДАННЫЕ!W12+0.6*ДАННЫЕ!Y12)/AA12)</f>
        <v>0</v>
      </c>
      <c r="Z12" s="400"/>
      <c r="AA12" s="206">
        <f>SUM(ДАННЫЕ!B12)</f>
        <v>602</v>
      </c>
      <c r="AB12" s="208">
        <f aca="true" t="shared" si="8" ref="AB12:AB22">SUM(AC12*AD12)</f>
        <v>0.12887005179660177</v>
      </c>
      <c r="AC12" s="196">
        <v>0.8</v>
      </c>
      <c r="AD12" s="207">
        <f aca="true" t="shared" si="9" ref="AD12:AD22">SUM(AF12/$AF$23)</f>
        <v>0.1610875647457522</v>
      </c>
      <c r="AE12" s="192">
        <v>4150</v>
      </c>
      <c r="AF12" s="192">
        <f>SUM(AE12/ДАННЫЕ!B12)</f>
        <v>6.893687707641196</v>
      </c>
    </row>
    <row r="13" spans="1:32" ht="12.75">
      <c r="A13" s="63" t="s">
        <v>12</v>
      </c>
      <c r="B13" s="209">
        <f t="shared" si="0"/>
        <v>0.3021528231959111</v>
      </c>
      <c r="C13" s="192">
        <f t="shared" si="1"/>
        <v>1056.3737660457807</v>
      </c>
      <c r="D13" s="393"/>
      <c r="E13" s="192">
        <f>SUM(ДАННЫЕ!AB13/ДАННЫЕ!$AB$23*$K$23/$Z$11)</f>
        <v>1076.4495545028105</v>
      </c>
      <c r="F13" s="192">
        <f>SUM(ДАННЫЕ!S13/ДАННЫЕ!$S$23*$L$23/$Z$11)</f>
        <v>0</v>
      </c>
      <c r="G13" s="192">
        <f>IF(ДАННЫЕ!T25&gt;0,(ДАННЫЕ!T13/ДАННЫЕ!$T$23*$M$23/$Z$11),-1*(ДАННЫЕ!T13/ДАННЫЕ!$T$23*$M$23/$Z$11))</f>
        <v>0</v>
      </c>
      <c r="H13" s="192">
        <f>SUM(ДАННЫЕ!U13/ДАННЫЕ!$U$23*$N$23/$Z$11)</f>
        <v>10.128814839633966</v>
      </c>
      <c r="I13" s="192">
        <f>SUM(ДАННЫЕ!AC13/ДАННЫЕ!$AC$23*$O$23/$Z$11)</f>
        <v>0</v>
      </c>
      <c r="J13" s="205">
        <f t="shared" si="2"/>
        <v>1086.5783693424446</v>
      </c>
      <c r="K13" s="193">
        <f>SUM(ДАННЫЕ!E13)</f>
        <v>302500</v>
      </c>
      <c r="L13" s="193">
        <f>SUM(ДАННЫЕ!F13)</f>
        <v>0</v>
      </c>
      <c r="M13" s="193">
        <f>SUM(ДАННЫЕ!G13)</f>
        <v>2100</v>
      </c>
      <c r="N13" s="193">
        <f>SUM(ДАННЫЕ!H13)</f>
        <v>16500</v>
      </c>
      <c r="O13" s="193">
        <f>SUM(ДАННЫЕ!I13)</f>
        <v>0</v>
      </c>
      <c r="P13" s="192">
        <f t="shared" si="3"/>
        <v>938.0226492110986</v>
      </c>
      <c r="Q13" s="199">
        <f t="shared" si="4"/>
        <v>0</v>
      </c>
      <c r="R13" s="192">
        <f t="shared" si="5"/>
        <v>3.649489820524773</v>
      </c>
      <c r="S13" s="192">
        <f t="shared" si="6"/>
        <v>114.70162701415742</v>
      </c>
      <c r="T13" s="192">
        <f t="shared" si="7"/>
        <v>0</v>
      </c>
      <c r="U13" s="197">
        <f>SUM((0.4*ДАННЫЕ!V13+0.6*ДАННЫЕ!X13)/AA13)</f>
        <v>2661.279250508631</v>
      </c>
      <c r="V13" s="197">
        <f>SUM((0.4*ДАННЫЕ!J13+0.6*ДАННЫЕ!M13)/AA13)</f>
        <v>0</v>
      </c>
      <c r="W13" s="197">
        <f>SUM((0.4*ДАННЫЕ!K13+0.6*ДАННЫЕ!N13)/AA13)</f>
        <v>1.2936305732484077</v>
      </c>
      <c r="X13" s="197">
        <f>SUM((0.4*ДАННЫЕ!L13+0.6*ДАННЫЕ!O13)/AA13)</f>
        <v>35.15732484076434</v>
      </c>
      <c r="Y13" s="197">
        <f>SUM((0.4*ДАННЫЕ!W13+0.6*ДАННЫЕ!Y13)/AA13)</f>
        <v>0</v>
      </c>
      <c r="Z13" s="400"/>
      <c r="AA13" s="206">
        <f>SUM(ДАННЫЕ!B13)</f>
        <v>314</v>
      </c>
      <c r="AB13" s="208">
        <f t="shared" si="8"/>
        <v>0.42543553438982945</v>
      </c>
      <c r="AC13" s="196">
        <v>0.8</v>
      </c>
      <c r="AD13" s="207">
        <f t="shared" si="9"/>
        <v>0.5317944179872868</v>
      </c>
      <c r="AE13" s="192">
        <v>7146</v>
      </c>
      <c r="AF13" s="192">
        <f>SUM(AE13/ДАННЫЕ!B13)</f>
        <v>22.75796178343949</v>
      </c>
    </row>
    <row r="14" spans="1:32" ht="12.75">
      <c r="A14" s="63" t="s">
        <v>13</v>
      </c>
      <c r="B14" s="209">
        <f t="shared" si="0"/>
        <v>1.1930466315645163</v>
      </c>
      <c r="C14" s="192">
        <f t="shared" si="1"/>
        <v>4108.4732799370595</v>
      </c>
      <c r="D14" s="393"/>
      <c r="E14" s="192">
        <f>SUM(ДАННЫЕ!AB14/ДАННЫЕ!$AB$23*$K$23/$Z$11)</f>
        <v>2969.2759449674663</v>
      </c>
      <c r="F14" s="192">
        <f>SUM(ДАННЫЕ!S14/ДАННЫЕ!$S$23*$L$23/$Z$11)</f>
        <v>0.96244970006788</v>
      </c>
      <c r="G14" s="192">
        <f>IF(ДАННЫЕ!T26&gt;0,(ДАННЫЕ!T14/ДАННЫЕ!$T$23*$M$23/$Z$11),-1*(ДАННЫЕ!T14/ДАННЫЕ!$T$23*$M$23/$Z$11))</f>
        <v>-143.27090160546044</v>
      </c>
      <c r="H14" s="192">
        <f>SUM(ДАННЫЕ!U14/ДАННЫЕ!$U$23*$N$23/$Z$11)</f>
        <v>2039.1072051271256</v>
      </c>
      <c r="I14" s="192">
        <f>SUM(ДАННЫЕ!AC14/ДАННЫЕ!$AC$23*$O$23/$Z$11)</f>
        <v>2.4814625181891303</v>
      </c>
      <c r="J14" s="205">
        <f t="shared" si="2"/>
        <v>4868.556160707388</v>
      </c>
      <c r="K14" s="193">
        <f>SUM(ДАННЫЕ!E14)</f>
        <v>7342500</v>
      </c>
      <c r="L14" s="193">
        <f>SUM(ДАННЫЕ!F14)</f>
        <v>9000</v>
      </c>
      <c r="M14" s="193">
        <f>SUM(ДАННЫЕ!G14)</f>
        <v>345000</v>
      </c>
      <c r="N14" s="193">
        <f>SUM(ДАННЫЕ!H14)</f>
        <v>5100000</v>
      </c>
      <c r="O14" s="193">
        <f>SUM(ДАННЫЕ!I14)</f>
        <v>0</v>
      </c>
      <c r="P14" s="192">
        <f t="shared" si="3"/>
        <v>2536.990241522057</v>
      </c>
      <c r="Q14" s="199">
        <f t="shared" si="4"/>
        <v>2.4795813740023434</v>
      </c>
      <c r="R14" s="192">
        <f t="shared" si="5"/>
        <v>97.68786097292733</v>
      </c>
      <c r="S14" s="192">
        <f t="shared" si="6"/>
        <v>1471.3155960680726</v>
      </c>
      <c r="T14" s="192">
        <f t="shared" si="7"/>
        <v>0</v>
      </c>
      <c r="U14" s="197">
        <f>SUM((0.4*ДАННЫЕ!V14+0.6*ДАННЫЕ!X14)/AA14)</f>
        <v>7197.736103903071</v>
      </c>
      <c r="V14" s="197">
        <f>SUM((0.4*ДАННЫЕ!J14+0.6*ДАННЫЕ!M14)/AA14)</f>
        <v>1.2269662921348314</v>
      </c>
      <c r="W14" s="197">
        <f>SUM((0.4*ДАННЫЕ!K14+0.6*ДАННЫЕ!N14)/AA14)</f>
        <v>34.62730677562138</v>
      </c>
      <c r="X14" s="197">
        <f>SUM((0.4*ДАННЫЕ!L14+0.6*ДАННЫЕ!O14)/AA14)</f>
        <v>450.9745999319033</v>
      </c>
      <c r="Y14" s="197">
        <f>SUM((0.4*ДАННЫЕ!W14+0.6*ДАННЫЕ!Y14)/AA14)</f>
        <v>0</v>
      </c>
      <c r="Z14" s="400"/>
      <c r="AA14" s="206">
        <f>SUM(ДАННЫЕ!B14)</f>
        <v>2937</v>
      </c>
      <c r="AB14" s="208">
        <f t="shared" si="8"/>
        <v>0.3962194646657521</v>
      </c>
      <c r="AC14" s="196">
        <v>0.8</v>
      </c>
      <c r="AD14" s="207">
        <f t="shared" si="9"/>
        <v>0.4952743308321901</v>
      </c>
      <c r="AE14" s="192">
        <v>62250</v>
      </c>
      <c r="AF14" s="192">
        <f>SUM(AE14/ДАННЫЕ!B14)</f>
        <v>21.195097037793666</v>
      </c>
    </row>
    <row r="15" spans="1:32" ht="12.75">
      <c r="A15" s="63" t="s">
        <v>14</v>
      </c>
      <c r="B15" s="209">
        <f t="shared" si="0"/>
        <v>0.44442896017708206</v>
      </c>
      <c r="C15" s="192">
        <f t="shared" si="1"/>
        <v>1619.6964619272192</v>
      </c>
      <c r="D15" s="393"/>
      <c r="E15" s="192">
        <f>SUM(ДАННЫЕ!AB15/ДАННЫЕ!$AB$23*$K$23/$Z$11)</f>
        <v>1288.3015029957642</v>
      </c>
      <c r="F15" s="192">
        <f>SUM(ДАННЫЕ!S15/ДАННЫЕ!$S$23*$L$23/$Z$11)</f>
        <v>0.04857547385464699</v>
      </c>
      <c r="G15" s="192">
        <f>IF(ДАННЫЕ!T27&gt;0,(ДАННЫЕ!T15/ДАННЫЕ!$T$23*$M$23/$Z$11),-1*(ДАННЫЕ!T15/ДАННЫЕ!$T$23*$M$23/$Z$11))</f>
        <v>-17.112011240900305</v>
      </c>
      <c r="H15" s="192">
        <f>SUM(ДАННЫЕ!U15/ДАННЫЕ!$U$23*$N$23/$Z$11)</f>
        <v>-156.46924193313524</v>
      </c>
      <c r="I15" s="192">
        <f>SUM(ДАННЫЕ!AC15/ДАННЫЕ!$AC$23*$O$23/$Z$11)</f>
        <v>0</v>
      </c>
      <c r="J15" s="205">
        <f t="shared" si="2"/>
        <v>1114.7688252955834</v>
      </c>
      <c r="K15" s="193">
        <f>SUM(ДАННЫЕ!E15)</f>
        <v>977100</v>
      </c>
      <c r="L15" s="193">
        <f>SUM(ДАННЫЕ!F15)</f>
        <v>300</v>
      </c>
      <c r="M15" s="193">
        <f>SUM(ДАННЫЕ!G15)</f>
        <v>75000</v>
      </c>
      <c r="N15" s="193">
        <f>SUM(ДАННЫЕ!H15)</f>
        <v>273000</v>
      </c>
      <c r="O15" s="193">
        <f>SUM(ДАННЫЕ!I15)</f>
        <v>15000</v>
      </c>
      <c r="P15" s="192">
        <f t="shared" si="3"/>
        <v>989.7345938375628</v>
      </c>
      <c r="Q15" s="199">
        <f t="shared" si="4"/>
        <v>1.4735557133105321</v>
      </c>
      <c r="R15" s="192">
        <f t="shared" si="5"/>
        <v>91.89856278011706</v>
      </c>
      <c r="S15" s="192">
        <f t="shared" si="6"/>
        <v>524.2106140872155</v>
      </c>
      <c r="T15" s="192">
        <f t="shared" si="7"/>
        <v>12.379135509013189</v>
      </c>
      <c r="U15" s="197">
        <f>SUM((0.4*ДАННЫЕ!V15+0.6*ДАННЫЕ!X15)/AA15)</f>
        <v>2807.99204614699</v>
      </c>
      <c r="V15" s="197">
        <f>SUM((0.4*ДАННЫЕ!J15+0.6*ДАННЫЕ!M15)/AA15)</f>
        <v>0.729156626506024</v>
      </c>
      <c r="W15" s="197">
        <f>SUM((0.4*ДАННЫЕ!K15+0.6*ДАННЫЕ!N15)/AA15)</f>
        <v>32.57518072289157</v>
      </c>
      <c r="X15" s="197">
        <f>SUM((0.4*ДАННЫЕ!L15+0.6*ДАННЫЕ!O15)/AA15)</f>
        <v>160.67638554216867</v>
      </c>
      <c r="Y15" s="197">
        <f>SUM((0.4*ДАННЫЕ!W15+0.6*ДАННЫЕ!Y15)/AA15)</f>
        <v>11.421686746987952</v>
      </c>
      <c r="Z15" s="400"/>
      <c r="AA15" s="206">
        <f>SUM(ДАННЫЕ!B15)</f>
        <v>830</v>
      </c>
      <c r="AB15" s="208">
        <f t="shared" si="8"/>
        <v>0.48464552657415716</v>
      </c>
      <c r="AC15" s="196">
        <v>0.8</v>
      </c>
      <c r="AD15" s="207">
        <f t="shared" si="9"/>
        <v>0.6058069082176964</v>
      </c>
      <c r="AE15" s="192">
        <v>21518</v>
      </c>
      <c r="AF15" s="192">
        <f>SUM(AE15/ДАННЫЕ!B15)</f>
        <v>25.925301204819277</v>
      </c>
    </row>
    <row r="16" spans="1:32" ht="12.75">
      <c r="A16" s="63" t="s">
        <v>15</v>
      </c>
      <c r="B16" s="209">
        <f t="shared" si="0"/>
        <v>0.4439779906958249</v>
      </c>
      <c r="C16" s="192">
        <f t="shared" si="1"/>
        <v>1551.3421241531626</v>
      </c>
      <c r="D16" s="393"/>
      <c r="E16" s="192">
        <f>SUM(ДАННЫЕ!AB16/ДАННЫЕ!$AB$23*$K$23/$Z$11)</f>
        <v>1634.5817143676995</v>
      </c>
      <c r="F16" s="192">
        <f>SUM(ДАННЫЕ!S16/ДАННЫЕ!$S$23*$L$23/$Z$11)</f>
        <v>10.319957075393134</v>
      </c>
      <c r="G16" s="192">
        <f>IF(ДАННЫЕ!T28&gt;0,(ДАННЫЕ!T16/ДАННЫЕ!$T$23*$M$23/$Z$11),-1*(ДАННЫЕ!T16/ДАННЫЕ!$T$23*$M$23/$Z$11))</f>
        <v>-50.659099425881905</v>
      </c>
      <c r="H16" s="192">
        <f>SUM(ДАННЫЕ!U16/ДАННЫЕ!$U$23*$N$23/$Z$11)</f>
        <v>23.769936277311864</v>
      </c>
      <c r="I16" s="192">
        <f>SUM(ДАННЫЕ!AC16/ДАННЫЕ!$AC$23*$O$23/$Z$11)</f>
        <v>0</v>
      </c>
      <c r="J16" s="205">
        <f t="shared" si="2"/>
        <v>1618.0125082945226</v>
      </c>
      <c r="K16" s="193">
        <f>SUM(ДАННЫЕ!E16)</f>
        <v>895800</v>
      </c>
      <c r="L16" s="193">
        <f>SUM(ДАННЫЕ!F16)</f>
        <v>9600</v>
      </c>
      <c r="M16" s="193">
        <f>SUM(ДАННЫЕ!G16)</f>
        <v>24000</v>
      </c>
      <c r="N16" s="193">
        <f>SUM(ДАННЫЕ!H16)</f>
        <v>40500</v>
      </c>
      <c r="O16" s="193">
        <f>SUM(ДАННЫЕ!I16)</f>
        <v>12000</v>
      </c>
      <c r="P16" s="192">
        <f t="shared" si="3"/>
        <v>1366.1564954750183</v>
      </c>
      <c r="Q16" s="199">
        <f t="shared" si="4"/>
        <v>33.22067748950789</v>
      </c>
      <c r="R16" s="192">
        <f t="shared" si="5"/>
        <v>30.540567906596618</v>
      </c>
      <c r="S16" s="192">
        <f t="shared" si="6"/>
        <v>92.91593070771934</v>
      </c>
      <c r="T16" s="192">
        <f t="shared" si="7"/>
        <v>28.508452574320383</v>
      </c>
      <c r="U16" s="197">
        <f>SUM((0.4*ДАННЫЕ!V16+0.6*ДАННЫЕ!X16)/AA16)</f>
        <v>3875.944719898813</v>
      </c>
      <c r="V16" s="197">
        <f>SUM((0.4*ДАННЫЕ!J16+0.6*ДАННЫЕ!M16)/AA16)</f>
        <v>16.43852140077821</v>
      </c>
      <c r="W16" s="197">
        <f>SUM((0.4*ДАННЫЕ!K16+0.6*ДАННЫЕ!N16)/AA16)</f>
        <v>10.825680933852139</v>
      </c>
      <c r="X16" s="197">
        <f>SUM((0.4*ДАННЫЕ!L16+0.6*ДАННЫЕ!O16)/AA16)</f>
        <v>28.47976653696498</v>
      </c>
      <c r="Y16" s="197">
        <f>SUM((0.4*ДАННЫЕ!W16+0.6*ДАННЫЕ!Y16)/AA16)</f>
        <v>26.30350194552529</v>
      </c>
      <c r="Z16" s="400"/>
      <c r="AA16" s="206">
        <f>SUM(ДАННЫЕ!B16)</f>
        <v>514</v>
      </c>
      <c r="AB16" s="208">
        <f t="shared" si="8"/>
        <v>0.33569044489510375</v>
      </c>
      <c r="AC16" s="196">
        <v>0.8</v>
      </c>
      <c r="AD16" s="207">
        <f t="shared" si="9"/>
        <v>0.41961305611887967</v>
      </c>
      <c r="AE16" s="192">
        <v>9230</v>
      </c>
      <c r="AF16" s="192">
        <f>SUM(AE16/ДАННЫЕ!B16)</f>
        <v>17.957198443579767</v>
      </c>
    </row>
    <row r="17" spans="1:32" ht="12.75">
      <c r="A17" s="63" t="s">
        <v>16</v>
      </c>
      <c r="B17" s="209">
        <f t="shared" si="0"/>
        <v>0.6629339856610329</v>
      </c>
      <c r="C17" s="192">
        <f t="shared" si="1"/>
        <v>2350.659822384484</v>
      </c>
      <c r="D17" s="393"/>
      <c r="E17" s="192">
        <f>SUM(ДАННЫЕ!AB17/ДАННЫЕ!$AB$23*$K$23/$Z$11)</f>
        <v>1390.1992651129044</v>
      </c>
      <c r="F17" s="192">
        <f>SUM(ДАННЫЕ!S17/ДАННЫЕ!$S$23*$L$23/$Z$11)</f>
        <v>0</v>
      </c>
      <c r="G17" s="192">
        <f>IF(ДАННЫЕ!T29&gt;0,(ДАННЫЕ!T17/ДАННЫЕ!$T$23*$M$23/$Z$11),-1*(ДАННЫЕ!T17/ДАННЫЕ!$T$23*$M$23/$Z$11))</f>
        <v>-32.56811913639964</v>
      </c>
      <c r="H17" s="192">
        <f>SUM(ДАННЫЕ!U17/ДАННЫЕ!$U$23*$N$23/$Z$11)</f>
        <v>865.6562790528968</v>
      </c>
      <c r="I17" s="192">
        <f>SUM(ДАННЫЕ!AC17/ДАННЫЕ!$AC$23*$O$23/$Z$11)</f>
        <v>0</v>
      </c>
      <c r="J17" s="205">
        <f t="shared" si="2"/>
        <v>2223.2874250294017</v>
      </c>
      <c r="K17" s="193">
        <f>SUM(ДАННЫЕ!E17)</f>
        <v>1129900</v>
      </c>
      <c r="L17" s="193">
        <f>SUM(ДАННЫЕ!F17)</f>
        <v>0</v>
      </c>
      <c r="M17" s="193">
        <f>SUM(ДАННЫЕ!G17)</f>
        <v>90000</v>
      </c>
      <c r="N17" s="193">
        <f>SUM(ДАННЫЕ!H17)</f>
        <v>540000</v>
      </c>
      <c r="O17" s="193">
        <f>SUM(ДАННЫЕ!I17)</f>
        <v>0</v>
      </c>
      <c r="P17" s="192">
        <f t="shared" si="3"/>
        <v>1495.2474735632675</v>
      </c>
      <c r="Q17" s="199">
        <f t="shared" si="4"/>
        <v>0</v>
      </c>
      <c r="R17" s="192">
        <f t="shared" si="5"/>
        <v>100.79610812374702</v>
      </c>
      <c r="S17" s="192">
        <f t="shared" si="6"/>
        <v>754.6162406974696</v>
      </c>
      <c r="T17" s="192">
        <f t="shared" si="7"/>
        <v>0</v>
      </c>
      <c r="U17" s="197">
        <f>SUM((0.4*ДАННЫЕ!V17+0.6*ДАННЫЕ!X17)/AA17)</f>
        <v>4242.190824620329</v>
      </c>
      <c r="V17" s="197">
        <f>SUM((0.4*ДАННЫЕ!J17+0.6*ДАННЫЕ!M17)/AA17)</f>
        <v>0</v>
      </c>
      <c r="W17" s="197">
        <f>SUM((0.4*ДАННЫЕ!K17+0.6*ДАННЫЕ!N17)/AA17)</f>
        <v>35.72908366533864</v>
      </c>
      <c r="X17" s="197">
        <f>SUM((0.4*ДАННЫЕ!L17+0.6*ДАННЫЕ!O17)/AA17)</f>
        <v>231.29827357237716</v>
      </c>
      <c r="Y17" s="197">
        <f>SUM((0.4*ДАННЫЕ!W17+0.6*ДАННЫЕ!Y17)/AA17)</f>
        <v>0</v>
      </c>
      <c r="Z17" s="400"/>
      <c r="AA17" s="206">
        <f>SUM(ДАННЫЕ!B17)</f>
        <v>753</v>
      </c>
      <c r="AB17" s="208">
        <f t="shared" si="8"/>
        <v>0.8130490107668609</v>
      </c>
      <c r="AC17" s="196">
        <v>0.8</v>
      </c>
      <c r="AD17" s="207">
        <f t="shared" si="9"/>
        <v>1.016311263458576</v>
      </c>
      <c r="AE17" s="192">
        <v>32750</v>
      </c>
      <c r="AF17" s="192">
        <f>SUM(AE17/ДАННЫЕ!B17)</f>
        <v>43.49269588313413</v>
      </c>
    </row>
    <row r="18" spans="1:32" ht="12.75">
      <c r="A18" s="63" t="s">
        <v>18</v>
      </c>
      <c r="B18" s="209">
        <f t="shared" si="0"/>
        <v>1.4758558225037635</v>
      </c>
      <c r="C18" s="192">
        <f t="shared" si="1"/>
        <v>5208.835291513426</v>
      </c>
      <c r="D18" s="393"/>
      <c r="E18" s="192">
        <f>SUM(ДАННЫЕ!AB18/ДАННЫЕ!$AB$23*$K$23/$Z$11)</f>
        <v>4860.162910565812</v>
      </c>
      <c r="F18" s="192">
        <f>SUM(ДАННЫЕ!S18/ДАННЫЕ!$S$23*$L$23/$Z$11)</f>
        <v>4.915704413268682</v>
      </c>
      <c r="G18" s="192">
        <f>IF(ДАННЫЕ!T30&gt;0,(ДАННЫЕ!T18/ДАННЫЕ!$T$23*$M$23/$Z$11),-1*(ДАННЫЕ!T18/ДАННЫЕ!$T$23*$M$23/$Z$11))</f>
        <v>-65.7273723860102</v>
      </c>
      <c r="H18" s="192">
        <f>SUM(ДАННЫЕ!U18/ДАННЫЕ!$U$23*$N$23/$Z$11)</f>
        <v>284.62236966822417</v>
      </c>
      <c r="I18" s="192">
        <f>SUM(ДАННЫЕ!AC18/ДАННЫЕ!$AC$23*$O$23/$Z$11)</f>
        <v>0</v>
      </c>
      <c r="J18" s="205">
        <f t="shared" si="2"/>
        <v>5083.973612261296</v>
      </c>
      <c r="K18" s="193">
        <f>SUM(ДАННЫЕ!E18)</f>
        <v>7418100</v>
      </c>
      <c r="L18" s="193">
        <f>SUM(ДАННЫЕ!F18)</f>
        <v>24600</v>
      </c>
      <c r="M18" s="193">
        <f>SUM(ДАННЫЕ!G18)</f>
        <v>150000</v>
      </c>
      <c r="N18" s="193">
        <f>SUM(ДАННЫЕ!H18)</f>
        <v>390000</v>
      </c>
      <c r="O18" s="193">
        <f>SUM(ДАННЫЕ!I18)</f>
        <v>0</v>
      </c>
      <c r="P18" s="192">
        <f t="shared" si="3"/>
        <v>4692.081449007535</v>
      </c>
      <c r="Q18" s="199">
        <f t="shared" si="4"/>
        <v>35.25929256906985</v>
      </c>
      <c r="R18" s="192">
        <f t="shared" si="5"/>
        <v>148.09281810721666</v>
      </c>
      <c r="S18" s="192">
        <f t="shared" si="6"/>
        <v>333.4017318296033</v>
      </c>
      <c r="T18" s="192">
        <f t="shared" si="7"/>
        <v>0</v>
      </c>
      <c r="U18" s="197">
        <f>SUM((0.4*ДАННЫЕ!V18+0.6*ДАННЫЕ!X18)/AA18)</f>
        <v>13311.980273015864</v>
      </c>
      <c r="V18" s="197">
        <f>SUM((0.4*ДАННЫЕ!J18+0.6*ДАННЫЕ!M18)/AA18)</f>
        <v>17.447285223367697</v>
      </c>
      <c r="W18" s="197">
        <f>SUM((0.4*ДАННЫЕ!K18+0.6*ДАННЫЕ!N18)/AA18)</f>
        <v>52.49429553264605</v>
      </c>
      <c r="X18" s="197">
        <f>SUM((0.4*ДАННЫЕ!L18+0.6*ДАННЫЕ!O18)/AA18)</f>
        <v>102.19134020618556</v>
      </c>
      <c r="Y18" s="197">
        <f>SUM((0.4*ДАННЫЕ!W18+0.6*ДАННЫЕ!Y18)/AA18)</f>
        <v>0</v>
      </c>
      <c r="Z18" s="400"/>
      <c r="AA18" s="206">
        <f>SUM(ДАННЫЕ!B18)</f>
        <v>1455</v>
      </c>
      <c r="AB18" s="208">
        <f t="shared" si="8"/>
        <v>1.0674164517473652</v>
      </c>
      <c r="AC18" s="196">
        <v>0.8</v>
      </c>
      <c r="AD18" s="207">
        <f t="shared" si="9"/>
        <v>1.3342705646842066</v>
      </c>
      <c r="AE18" s="192">
        <v>83080</v>
      </c>
      <c r="AF18" s="192">
        <f>SUM(AE18/ДАННЫЕ!B18)</f>
        <v>57.09965635738832</v>
      </c>
    </row>
    <row r="19" spans="1:32" ht="12.75">
      <c r="A19" s="63" t="s">
        <v>17</v>
      </c>
      <c r="B19" s="209">
        <f t="shared" si="0"/>
        <v>2.1804437901897176</v>
      </c>
      <c r="C19" s="192">
        <f t="shared" si="1"/>
        <v>8638.354216573402</v>
      </c>
      <c r="D19" s="393"/>
      <c r="E19" s="192">
        <f>SUM(ДАННЫЕ!AB19/ДАННЫЕ!$AB$23*$K$23/$Z$11)</f>
        <v>5675.250762506776</v>
      </c>
      <c r="F19" s="192">
        <f>SUM(ДАННЫЕ!S19/ДАННЫЕ!$S$23*$L$23/$Z$11)</f>
        <v>60.64100628289378</v>
      </c>
      <c r="G19" s="192">
        <f>IF(ДАННЫЕ!T31&gt;0,(ДАННЫЕ!T19/ДАННЫЕ!$T$23*$M$23/$Z$11),-1*(ДАННЫЕ!T19/ДАННЫЕ!$T$23*$M$23/$Z$11))</f>
        <v>-217.15327501106367</v>
      </c>
      <c r="H19" s="192">
        <f>SUM(ДАННЫЕ!U19/ДАННЫЕ!$U$23*$N$23/$Z$11)</f>
        <v>1527.2352992435933</v>
      </c>
      <c r="I19" s="192">
        <f>SUM(ДАННЫЕ!AC19/ДАННЫЕ!$AC$23*$O$23/$Z$11)</f>
        <v>0</v>
      </c>
      <c r="J19" s="205">
        <f t="shared" si="2"/>
        <v>7045.973793022199</v>
      </c>
      <c r="K19" s="193">
        <f>SUM(ДАННЫЕ!E19)</f>
        <v>11186600</v>
      </c>
      <c r="L19" s="193">
        <f>SUM(ДАННЫЕ!F19)</f>
        <v>45000</v>
      </c>
      <c r="M19" s="193">
        <f>SUM(ДАННЫЕ!G19)</f>
        <v>150000</v>
      </c>
      <c r="N19" s="193">
        <f>SUM(ДАННЫЕ!H19)</f>
        <v>3360000</v>
      </c>
      <c r="O19" s="193">
        <f>SUM(ДАННЫЕ!I19)</f>
        <v>0</v>
      </c>
      <c r="P19" s="192">
        <f t="shared" si="3"/>
        <v>6867.620899235679</v>
      </c>
      <c r="Q19" s="199">
        <f t="shared" si="4"/>
        <v>1.1955696601344195</v>
      </c>
      <c r="R19" s="192">
        <f t="shared" si="5"/>
        <v>132.85242170388818</v>
      </c>
      <c r="S19" s="192">
        <f t="shared" si="6"/>
        <v>1636.6853259737006</v>
      </c>
      <c r="T19" s="192">
        <f t="shared" si="7"/>
        <v>0</v>
      </c>
      <c r="U19" s="197">
        <f>SUM((0.4*ДАННЫЕ!V19+0.6*ДАННЫЕ!X19)/AA19)</f>
        <v>19484.23848279834</v>
      </c>
      <c r="V19" s="197">
        <f>SUM((0.4*ДАННЫЕ!J19+0.6*ДАННЫЕ!M19)/AA19)</f>
        <v>0.5916013437849944</v>
      </c>
      <c r="W19" s="197">
        <f>SUM((0.4*ДАННЫЕ!K19+0.6*ДАННЫЕ!N19)/AA19)</f>
        <v>47.092049272116455</v>
      </c>
      <c r="X19" s="197">
        <f>SUM((0.4*ДАННЫЕ!L19+0.6*ДАННЫЕ!O19)/AA19)</f>
        <v>501.66226203807395</v>
      </c>
      <c r="Y19" s="197">
        <f>SUM((0.4*ДАННЫЕ!W19+0.6*ДАННЫЕ!Y19)/AA19)</f>
        <v>0</v>
      </c>
      <c r="Z19" s="400"/>
      <c r="AA19" s="206">
        <f>SUM(ДАННЫЕ!B19)</f>
        <v>1786</v>
      </c>
      <c r="AB19" s="208">
        <f t="shared" si="8"/>
        <v>2.4918598638935525</v>
      </c>
      <c r="AC19" s="196">
        <v>0.8</v>
      </c>
      <c r="AD19" s="207">
        <f t="shared" si="9"/>
        <v>3.1148248298669405</v>
      </c>
      <c r="AE19" s="192">
        <v>238070</v>
      </c>
      <c r="AF19" s="192">
        <f>SUM(AE19/ДАННЫЕ!B19)</f>
        <v>133.29787234042553</v>
      </c>
    </row>
    <row r="20" spans="1:32" ht="12.75">
      <c r="A20" s="63" t="s">
        <v>19</v>
      </c>
      <c r="B20" s="209">
        <f t="shared" si="0"/>
        <v>0.3436289829453896</v>
      </c>
      <c r="C20" s="192">
        <f t="shared" si="1"/>
        <v>1184.8136688020159</v>
      </c>
      <c r="D20" s="393"/>
      <c r="E20" s="192">
        <f>SUM(ДАННЫЕ!AB20/ДАННЫЕ!$AB$23*$K$23/$Z$11)</f>
        <v>1211.1935900236954</v>
      </c>
      <c r="F20" s="192">
        <f>SUM(ДАННЫЕ!S20/ДАННЫЕ!$S$23*$L$23/$Z$11)</f>
        <v>39.85973291232591</v>
      </c>
      <c r="G20" s="192">
        <f>IF(ДАННЫЕ!T32&gt;0,(ДАННЫЕ!T20/ДАННЫЕ!$T$23*$M$23/$Z$11),-1*(ДАННЫЕ!T20/ДАННЫЕ!$T$23*$M$23/$Z$11))</f>
        <v>0</v>
      </c>
      <c r="H20" s="192">
        <f>SUM(ДАННЫЕ!U20/ДАННЫЕ!$U$23*$N$23/$Z$11)</f>
        <v>71.28083234417083</v>
      </c>
      <c r="I20" s="192">
        <f>SUM(ДАННЫЕ!AC20/ДАННЫЕ!$AC$23*$O$23/$Z$11)</f>
        <v>22.14857644997788</v>
      </c>
      <c r="J20" s="205">
        <f t="shared" si="2"/>
        <v>1344.48273173017</v>
      </c>
      <c r="K20" s="193">
        <f>SUM(ДАННЫЕ!E20)</f>
        <v>589500</v>
      </c>
      <c r="L20" s="193">
        <f>SUM(ДАННЫЕ!F20)</f>
        <v>45000</v>
      </c>
      <c r="M20" s="193">
        <f>SUM(ДАННЫЕ!G20)</f>
        <v>60000</v>
      </c>
      <c r="N20" s="193">
        <f>SUM(ДАННЫЕ!H20)</f>
        <v>57300</v>
      </c>
      <c r="O20" s="193">
        <f>SUM(ДАННЫЕ!I20)</f>
        <v>7000</v>
      </c>
      <c r="P20" s="192">
        <f t="shared" si="3"/>
        <v>895.7369153837752</v>
      </c>
      <c r="Q20" s="199">
        <f t="shared" si="4"/>
        <v>96.94811783737936</v>
      </c>
      <c r="R20" s="192">
        <f t="shared" si="5"/>
        <v>94.95761462766444</v>
      </c>
      <c r="S20" s="192">
        <f t="shared" si="6"/>
        <v>80.14231161354442</v>
      </c>
      <c r="T20" s="192">
        <f t="shared" si="7"/>
        <v>17.02870933965232</v>
      </c>
      <c r="U20" s="197">
        <f>SUM((0.4*ДАННЫЕ!V20+0.6*ДАННЫЕ!X20)/AA20)</f>
        <v>2541.3097101976045</v>
      </c>
      <c r="V20" s="197">
        <f>SUM((0.4*ДАННЫЕ!J20+0.6*ДАННЫЕ!M20)/AA20)</f>
        <v>47.97264325323475</v>
      </c>
      <c r="W20" s="197">
        <f>SUM((0.4*ДАННЫЕ!K20+0.6*ДАННЫЕ!N20)/AA20)</f>
        <v>33.659519408502774</v>
      </c>
      <c r="X20" s="197">
        <f>SUM((0.4*ДАННЫЕ!L20+0.6*ДАННЫЕ!O20)/AA20)</f>
        <v>24.5645101663586</v>
      </c>
      <c r="Y20" s="197">
        <f>SUM((0.4*ДАННЫЕ!W20+0.6*ДАННЫЕ!Y20)/AA20)</f>
        <v>15.711645101663587</v>
      </c>
      <c r="Z20" s="400"/>
      <c r="AA20" s="206">
        <f>SUM(ДАННЫЕ!B20)</f>
        <v>541</v>
      </c>
      <c r="AB20" s="208">
        <f t="shared" si="8"/>
        <v>0.5065672429555199</v>
      </c>
      <c r="AC20" s="196">
        <v>0.8</v>
      </c>
      <c r="AD20" s="207">
        <f t="shared" si="9"/>
        <v>0.6332090536943998</v>
      </c>
      <c r="AE20" s="192">
        <v>14660</v>
      </c>
      <c r="AF20" s="192">
        <f>SUM(AE20/ДАННЫЕ!B20)</f>
        <v>27.097966728280962</v>
      </c>
    </row>
    <row r="21" spans="1:32" ht="12.75">
      <c r="A21" s="63" t="s">
        <v>20</v>
      </c>
      <c r="B21" s="209">
        <f t="shared" si="0"/>
        <v>0.5318709708256835</v>
      </c>
      <c r="C21" s="192">
        <f t="shared" si="1"/>
        <v>1832.8317868072268</v>
      </c>
      <c r="D21" s="393"/>
      <c r="E21" s="192">
        <f>SUM(ДАННЫЕ!AB21/ДАННЫЕ!$AB$23*$K$23/$Z$11)</f>
        <v>1134.992366267187</v>
      </c>
      <c r="F21" s="192">
        <f>SUM(ДАННЫЕ!S21/ДАННЫЕ!$S$23*$L$23/$Z$11)</f>
        <v>1.9645989673555</v>
      </c>
      <c r="G21" s="192">
        <f>IF(ДАННЫЕ!T33&gt;0,(ДАННЫЕ!T21/ДАННЫЕ!$T$23*$M$23/$Z$11),-1*(ДАННЫЕ!T21/ДАННЫЕ!$T$23*$M$23/$Z$11))</f>
        <v>-74.86712976391951</v>
      </c>
      <c r="H21" s="192">
        <f>SUM(ДАННЫЕ!U21/ДАННЫЕ!$U$23*$N$23/$Z$11)</f>
        <v>1053.655617202088</v>
      </c>
      <c r="I21" s="192">
        <f>SUM(ДАННЫЕ!AC21/ДАННЫЕ!$AC$23*$O$23/$Z$11)</f>
        <v>0</v>
      </c>
      <c r="J21" s="205">
        <f t="shared" si="2"/>
        <v>2115.7454526727106</v>
      </c>
      <c r="K21" s="193">
        <f>SUM(ДАННЫЕ!E21)</f>
        <v>1883300</v>
      </c>
      <c r="L21" s="193">
        <f>SUM(ДАННЫЕ!F21)</f>
        <v>10500</v>
      </c>
      <c r="M21" s="193">
        <f>SUM(ДАННЫЕ!G21)</f>
        <v>150000</v>
      </c>
      <c r="N21" s="193">
        <f>SUM(ДАННЫЕ!H21)</f>
        <v>1389000</v>
      </c>
      <c r="O21" s="193">
        <f>SUM(ДАННЫЕ!I21)</f>
        <v>0</v>
      </c>
      <c r="P21" s="192">
        <f t="shared" si="3"/>
        <v>926.8061982783164</v>
      </c>
      <c r="Q21" s="199">
        <f t="shared" si="4"/>
        <v>10.39983175189752</v>
      </c>
      <c r="R21" s="192">
        <f t="shared" si="5"/>
        <v>59.955969017317805</v>
      </c>
      <c r="S21" s="192">
        <f t="shared" si="6"/>
        <v>835.6697877596949</v>
      </c>
      <c r="T21" s="192">
        <f t="shared" si="7"/>
        <v>0</v>
      </c>
      <c r="U21" s="197">
        <f>SUM((0.4*ДАННЫЕ!V21+0.6*ДАННЫЕ!X21)/AA21)</f>
        <v>2629.4568759030003</v>
      </c>
      <c r="V21" s="197">
        <f>SUM((0.4*ДАННЫЕ!J21+0.6*ДАННЫЕ!M21)/AA21)</f>
        <v>5.146127946127946</v>
      </c>
      <c r="W21" s="197">
        <f>SUM((0.4*ДАННЫЕ!K21+0.6*ДАННЫЕ!N21)/AA21)</f>
        <v>21.252525252525253</v>
      </c>
      <c r="X21" s="197">
        <f>SUM((0.4*ДАННЫЕ!L21+0.6*ДАННЫЕ!O21)/AA21)</f>
        <v>256.14208754208755</v>
      </c>
      <c r="Y21" s="197">
        <f>SUM((0.4*ДАННЫЕ!W21+0.6*ДАННЫЕ!Y21)/AA21)</f>
        <v>0</v>
      </c>
      <c r="Z21" s="400"/>
      <c r="AA21" s="206">
        <f>SUM(ДАННЫЕ!B21)</f>
        <v>1782</v>
      </c>
      <c r="AB21" s="208">
        <f t="shared" si="8"/>
        <v>0.45706741178590715</v>
      </c>
      <c r="AC21" s="196">
        <v>0.8</v>
      </c>
      <c r="AD21" s="207">
        <f t="shared" si="9"/>
        <v>0.5713342647323839</v>
      </c>
      <c r="AE21" s="192">
        <v>43570</v>
      </c>
      <c r="AF21" s="192">
        <f>SUM(AE21/ДАННЫЕ!B21)</f>
        <v>24.450056116722784</v>
      </c>
    </row>
    <row r="22" spans="1:32" ht="12.75">
      <c r="A22" s="63" t="s">
        <v>21</v>
      </c>
      <c r="B22" s="209">
        <f t="shared" si="0"/>
        <v>0.5014136024658864</v>
      </c>
      <c r="C22" s="192">
        <f t="shared" si="1"/>
        <v>1787.4428041480903</v>
      </c>
      <c r="D22" s="394"/>
      <c r="E22" s="192">
        <f>SUM(ДАННЫЕ!AB22/ДАННЫЕ!$AB$23*$K$23/$Z$11)</f>
        <v>320.0764235273644</v>
      </c>
      <c r="F22" s="192">
        <f>SUM(ДАННЫЕ!S22/ДАННЫЕ!$S$23*$L$23/$Z$11)</f>
        <v>0</v>
      </c>
      <c r="G22" s="192">
        <f>IF(ДАННЫЕ!T34&gt;0,(ДАННЫЕ!T22/ДАННЫЕ!$T$23*$M$23/$Z$11),-1*(ДАННЫЕ!T22/ДАННЫЕ!$T$23*$M$23/$Z$11))</f>
        <v>-26.32417956188806</v>
      </c>
      <c r="H22" s="192">
        <f>SUM(ДАННЫЕ!U22/ДАННЫЕ!$U$23*$N$23/$Z$11)</f>
        <v>362.65906611318144</v>
      </c>
      <c r="I22" s="192">
        <f>SUM(ДАННЫЕ!AC22/ДАННЫЕ!$AC$23*$O$23/$Z$11)</f>
        <v>0</v>
      </c>
      <c r="J22" s="205">
        <f t="shared" si="2"/>
        <v>656.4113100786578</v>
      </c>
      <c r="K22" s="193">
        <f>SUM(ДАННЫЕ!E22)</f>
        <v>238700</v>
      </c>
      <c r="L22" s="193">
        <f>SUM(ДАННЫЕ!F22)</f>
        <v>0</v>
      </c>
      <c r="M22" s="193">
        <f>SUM(ДАННЫЕ!G22)</f>
        <v>120000</v>
      </c>
      <c r="N22" s="193">
        <f>SUM(ДАННЫЕ!H22)</f>
        <v>438000</v>
      </c>
      <c r="O22" s="193">
        <f>SUM(ДАННЫЕ!I22)</f>
        <v>0</v>
      </c>
      <c r="P22" s="192">
        <f t="shared" si="3"/>
        <v>407.25966402672066</v>
      </c>
      <c r="Q22" s="199">
        <f t="shared" si="4"/>
        <v>0</v>
      </c>
      <c r="R22" s="192">
        <f t="shared" si="5"/>
        <v>192.6326206482361</v>
      </c>
      <c r="S22" s="192">
        <f t="shared" si="6"/>
        <v>1187.5505194731336</v>
      </c>
      <c r="T22" s="192">
        <f t="shared" si="7"/>
        <v>0</v>
      </c>
      <c r="U22" s="197">
        <f>SUM((0.4*ДАННЫЕ!V22+0.6*ДАННЫЕ!X22)/AA22)</f>
        <v>1155.4429888819407</v>
      </c>
      <c r="V22" s="197">
        <f>SUM((0.4*ДАННЫЕ!J22+0.6*ДАННЫЕ!M22)/AA22)</f>
        <v>0</v>
      </c>
      <c r="W22" s="197">
        <f>SUM((0.4*ДАННЫЕ!K22+0.6*ДАННЫЕ!N22)/AA22)</f>
        <v>68.2822695035461</v>
      </c>
      <c r="X22" s="197">
        <f>SUM((0.4*ДАННЫЕ!L22+0.6*ДАННЫЕ!O22)/AA22)</f>
        <v>363.99744680851063</v>
      </c>
      <c r="Y22" s="197">
        <f>SUM((0.4*ДАННЫЕ!W22+0.6*ДАННЫЕ!Y22)/AA22)</f>
        <v>0</v>
      </c>
      <c r="Z22" s="400"/>
      <c r="AA22" s="206">
        <f>SUM(ДАННЫЕ!B22)</f>
        <v>705</v>
      </c>
      <c r="AB22" s="208">
        <f t="shared" si="8"/>
        <v>0.10288285471569017</v>
      </c>
      <c r="AC22" s="196">
        <v>0.8</v>
      </c>
      <c r="AD22" s="207">
        <f t="shared" si="9"/>
        <v>0.1286035683946127</v>
      </c>
      <c r="AE22" s="192">
        <v>3880</v>
      </c>
      <c r="AF22" s="192">
        <f>SUM(AE22/ДАННЫЕ!B22)</f>
        <v>5.50354609929078</v>
      </c>
    </row>
    <row r="23" spans="1:32" ht="12.75">
      <c r="A23" s="5" t="s">
        <v>2</v>
      </c>
      <c r="B23" s="196"/>
      <c r="C23" s="196"/>
      <c r="D23" s="196"/>
      <c r="E23" s="194"/>
      <c r="F23" s="194"/>
      <c r="G23" s="194"/>
      <c r="H23" s="194"/>
      <c r="I23" s="194"/>
      <c r="J23" s="210"/>
      <c r="K23" s="194">
        <f>SUM(K11:K22)</f>
        <v>34779700</v>
      </c>
      <c r="L23" s="194">
        <f>SUM(L11:L22)</f>
        <v>150000</v>
      </c>
      <c r="M23" s="194">
        <f>SUM(M11:M22)</f>
        <v>1454100</v>
      </c>
      <c r="N23" s="194">
        <f>SUM(N11:N22)</f>
        <v>12156300</v>
      </c>
      <c r="O23" s="194">
        <f>SUM(O11:O22)</f>
        <v>64000</v>
      </c>
      <c r="P23" s="196"/>
      <c r="Q23" s="196"/>
      <c r="R23" s="196"/>
      <c r="S23" s="196"/>
      <c r="T23" s="196"/>
      <c r="U23" s="198">
        <f>SUM((0.4*ДАННЫЕ!V23+0.6*ДАННЫЕ!X23)/AA23)</f>
        <v>7119.339839110167</v>
      </c>
      <c r="V23" s="198">
        <f>SUM((0.4*ДАННЫЕ!J23+0.6*ДАННЫЕ!M23)/AA23)</f>
        <v>5.355281385281385</v>
      </c>
      <c r="W23" s="198">
        <f>SUM((0.4*ДАННЫЕ!K23+0.6*ДАННЫЕ!N23)/AA23)</f>
        <v>37.188542568542566</v>
      </c>
      <c r="X23" s="198">
        <f>SUM((0.4*ДАННЫЕ!L23+0.6*ДАННЫЕ!O23)/AA23)</f>
        <v>268.8341414141414</v>
      </c>
      <c r="Y23" s="198">
        <f>SUM((0.4*ДАННЫЕ!W23+0.6*ДАННЫЕ!Y23)/AA23)</f>
        <v>4.2604617604617605</v>
      </c>
      <c r="Z23" s="196"/>
      <c r="AA23" s="194">
        <f>SUM(AA11:AA22)</f>
        <v>13860</v>
      </c>
      <c r="AB23" s="194"/>
      <c r="AC23" s="196"/>
      <c r="AD23" s="207"/>
      <c r="AE23" s="194">
        <f>SUM(AE11:AE22)</f>
        <v>593134</v>
      </c>
      <c r="AF23" s="194">
        <f>SUM(AE23/ДАННЫЕ!B23)</f>
        <v>42.79466089466089</v>
      </c>
    </row>
  </sheetData>
  <sheetProtection/>
  <mergeCells count="19">
    <mergeCell ref="A5:A9"/>
    <mergeCell ref="E5:I5"/>
    <mergeCell ref="E6:I6"/>
    <mergeCell ref="E7:I7"/>
    <mergeCell ref="Z11:Z22"/>
    <mergeCell ref="K9:O9"/>
    <mergeCell ref="P8:T8"/>
    <mergeCell ref="K5:O5"/>
    <mergeCell ref="K6:O6"/>
    <mergeCell ref="K8:O8"/>
    <mergeCell ref="P5:T5"/>
    <mergeCell ref="P6:T6"/>
    <mergeCell ref="U5:Y5"/>
    <mergeCell ref="U6:Y6"/>
    <mergeCell ref="V8:X8"/>
    <mergeCell ref="B2:F2"/>
    <mergeCell ref="AD4:AF4"/>
    <mergeCell ref="D11:D22"/>
    <mergeCell ref="AE5:AF5"/>
  </mergeCells>
  <printOptions/>
  <pageMargins left="0.4330708661417323" right="0.35433070866141736" top="0.7480314960629921" bottom="0.7480314960629921" header="0.31496062992125984" footer="0.31496062992125984"/>
  <pageSetup fitToWidth="2" fitToHeight="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2:W32"/>
  <sheetViews>
    <sheetView zoomScale="80" zoomScaleNormal="80" zoomScalePageLayoutView="0" workbookViewId="0" topLeftCell="A1">
      <pane xSplit="1" topLeftCell="R1" activePane="topRight" state="frozen"/>
      <selection pane="topLeft" activeCell="A1" sqref="A1"/>
      <selection pane="topRight" activeCell="E6" sqref="E6"/>
    </sheetView>
  </sheetViews>
  <sheetFormatPr defaultColWidth="9.00390625" defaultRowHeight="12.75"/>
  <cols>
    <col min="1" max="1" width="15.125" style="16" customWidth="1"/>
    <col min="2" max="2" width="27.75390625" style="16" customWidth="1"/>
    <col min="3" max="3" width="25.125" style="16" customWidth="1"/>
    <col min="4" max="4" width="33.00390625" style="16" customWidth="1"/>
    <col min="5" max="5" width="26.125" style="16" customWidth="1"/>
    <col min="6" max="6" width="24.875" style="16" customWidth="1"/>
    <col min="7" max="8" width="22.625" style="16" customWidth="1"/>
    <col min="9" max="9" width="23.25390625" style="16" customWidth="1"/>
    <col min="10" max="11" width="21.875" style="17" customWidth="1"/>
    <col min="12" max="12" width="29.125" style="16" customWidth="1"/>
    <col min="13" max="17" width="33.00390625" style="16" customWidth="1"/>
    <col min="18" max="21" width="30.875" style="16" customWidth="1"/>
    <col min="22" max="22" width="24.625" style="16" customWidth="1"/>
    <col min="23" max="23" width="26.00390625" style="16" customWidth="1"/>
    <col min="24" max="24" width="16.75390625" style="16" customWidth="1"/>
    <col min="25" max="16384" width="9.125" style="16" customWidth="1"/>
  </cols>
  <sheetData>
    <row r="1" ht="15.75" customHeight="1"/>
    <row r="2" spans="2:11" s="235" customFormat="1" ht="14.25">
      <c r="B2" s="378" t="s">
        <v>376</v>
      </c>
      <c r="C2" s="378"/>
      <c r="D2" s="378"/>
      <c r="J2" s="250"/>
      <c r="K2" s="250"/>
    </row>
    <row r="5" spans="1:23" s="36" customFormat="1" ht="143.25" customHeight="1">
      <c r="A5" s="406"/>
      <c r="B5" s="407" t="s">
        <v>360</v>
      </c>
      <c r="C5" s="408"/>
      <c r="D5" s="244" t="s">
        <v>362</v>
      </c>
      <c r="E5" s="248" t="s">
        <v>369</v>
      </c>
      <c r="F5" s="35" t="s">
        <v>161</v>
      </c>
      <c r="G5" s="35" t="s">
        <v>394</v>
      </c>
      <c r="H5" s="230" t="s">
        <v>399</v>
      </c>
      <c r="I5" s="248" t="s">
        <v>370</v>
      </c>
      <c r="J5" s="35" t="s">
        <v>397</v>
      </c>
      <c r="K5" s="35" t="s">
        <v>401</v>
      </c>
      <c r="L5" s="189" t="s">
        <v>404</v>
      </c>
      <c r="M5" s="248" t="s">
        <v>373</v>
      </c>
      <c r="N5" s="35" t="s">
        <v>162</v>
      </c>
      <c r="O5" s="35" t="s">
        <v>163</v>
      </c>
      <c r="P5" s="35" t="s">
        <v>120</v>
      </c>
      <c r="Q5" s="35" t="s">
        <v>122</v>
      </c>
      <c r="R5" s="244" t="s">
        <v>365</v>
      </c>
      <c r="S5" s="230" t="s">
        <v>136</v>
      </c>
      <c r="T5" s="230" t="s">
        <v>138</v>
      </c>
      <c r="U5" s="230" t="s">
        <v>186</v>
      </c>
      <c r="V5" s="195" t="s">
        <v>312</v>
      </c>
      <c r="W5" s="237" t="s">
        <v>381</v>
      </c>
    </row>
    <row r="6" spans="1:23" s="36" customFormat="1" ht="22.5" customHeight="1">
      <c r="A6" s="406"/>
      <c r="B6" s="230" t="s">
        <v>22</v>
      </c>
      <c r="C6" s="230"/>
      <c r="D6" s="244" t="s">
        <v>363</v>
      </c>
      <c r="E6" s="248" t="s">
        <v>374</v>
      </c>
      <c r="F6" s="35" t="s">
        <v>393</v>
      </c>
      <c r="G6" s="35" t="s">
        <v>400</v>
      </c>
      <c r="H6" s="230" t="s">
        <v>395</v>
      </c>
      <c r="I6" s="248" t="s">
        <v>371</v>
      </c>
      <c r="J6" s="35" t="s">
        <v>398</v>
      </c>
      <c r="K6" s="35" t="s">
        <v>402</v>
      </c>
      <c r="L6" s="189" t="s">
        <v>405</v>
      </c>
      <c r="M6" s="248" t="s">
        <v>372</v>
      </c>
      <c r="N6" s="35" t="s">
        <v>412</v>
      </c>
      <c r="O6" s="35" t="s">
        <v>413</v>
      </c>
      <c r="P6" s="35" t="s">
        <v>415</v>
      </c>
      <c r="Q6" s="35" t="s">
        <v>416</v>
      </c>
      <c r="R6" s="244" t="s">
        <v>366</v>
      </c>
      <c r="S6" s="230" t="s">
        <v>417</v>
      </c>
      <c r="T6" s="230" t="s">
        <v>418</v>
      </c>
      <c r="U6" s="230" t="s">
        <v>419</v>
      </c>
      <c r="V6" s="195" t="s">
        <v>314</v>
      </c>
      <c r="W6" s="237" t="s">
        <v>83</v>
      </c>
    </row>
    <row r="7" spans="1:23" s="36" customFormat="1" ht="175.5" customHeight="1">
      <c r="A7" s="406"/>
      <c r="B7" s="230" t="s">
        <v>361</v>
      </c>
      <c r="C7" s="230" t="s">
        <v>368</v>
      </c>
      <c r="D7" s="244" t="s">
        <v>364</v>
      </c>
      <c r="E7" s="248" t="s">
        <v>407</v>
      </c>
      <c r="F7" s="35" t="s">
        <v>286</v>
      </c>
      <c r="G7" s="35" t="s">
        <v>396</v>
      </c>
      <c r="H7" s="230" t="s">
        <v>408</v>
      </c>
      <c r="I7" s="248" t="s">
        <v>403</v>
      </c>
      <c r="J7" s="35" t="s">
        <v>396</v>
      </c>
      <c r="K7" s="35" t="s">
        <v>396</v>
      </c>
      <c r="L7" s="189" t="s">
        <v>378</v>
      </c>
      <c r="M7" s="248" t="s">
        <v>411</v>
      </c>
      <c r="N7" s="401" t="s">
        <v>275</v>
      </c>
      <c r="O7" s="401" t="s">
        <v>414</v>
      </c>
      <c r="P7" s="401" t="s">
        <v>275</v>
      </c>
      <c r="Q7" s="401" t="s">
        <v>414</v>
      </c>
      <c r="R7" s="244" t="s">
        <v>367</v>
      </c>
      <c r="S7" s="230" t="s">
        <v>420</v>
      </c>
      <c r="T7" s="230" t="s">
        <v>422</v>
      </c>
      <c r="U7" s="230" t="s">
        <v>423</v>
      </c>
      <c r="V7" s="230" t="s">
        <v>392</v>
      </c>
      <c r="W7" s="230" t="s">
        <v>392</v>
      </c>
    </row>
    <row r="8" spans="1:23" s="36" customFormat="1" ht="30">
      <c r="A8" s="406"/>
      <c r="B8" s="230" t="s">
        <v>429</v>
      </c>
      <c r="C8" s="230" t="s">
        <v>428</v>
      </c>
      <c r="D8" s="244" t="s">
        <v>426</v>
      </c>
      <c r="E8" s="248"/>
      <c r="F8" s="35"/>
      <c r="G8" s="35"/>
      <c r="H8" s="230"/>
      <c r="I8" s="248" t="s">
        <v>406</v>
      </c>
      <c r="J8" s="35"/>
      <c r="K8" s="35"/>
      <c r="L8" s="189"/>
      <c r="M8" s="248"/>
      <c r="N8" s="402"/>
      <c r="O8" s="402"/>
      <c r="P8" s="402"/>
      <c r="Q8" s="402"/>
      <c r="R8" s="244" t="s">
        <v>427</v>
      </c>
      <c r="S8" s="230" t="s">
        <v>421</v>
      </c>
      <c r="T8" s="230"/>
      <c r="U8" s="230"/>
      <c r="V8" s="230"/>
      <c r="W8" s="230"/>
    </row>
    <row r="9" spans="1:23" s="36" customFormat="1" ht="15">
      <c r="A9" s="406"/>
      <c r="B9" s="230">
        <v>1</v>
      </c>
      <c r="C9" s="230">
        <v>2</v>
      </c>
      <c r="D9" s="244">
        <v>3</v>
      </c>
      <c r="E9" s="248">
        <v>4</v>
      </c>
      <c r="F9" s="35">
        <v>5</v>
      </c>
      <c r="G9" s="35">
        <v>6</v>
      </c>
      <c r="H9" s="230">
        <v>7</v>
      </c>
      <c r="I9" s="248">
        <v>8</v>
      </c>
      <c r="J9" s="35">
        <v>9</v>
      </c>
      <c r="K9" s="35">
        <v>10</v>
      </c>
      <c r="L9" s="189">
        <v>11</v>
      </c>
      <c r="M9" s="248">
        <v>12</v>
      </c>
      <c r="N9" s="35">
        <v>13</v>
      </c>
      <c r="O9" s="35">
        <v>14</v>
      </c>
      <c r="P9" s="35">
        <v>15</v>
      </c>
      <c r="Q9" s="35">
        <v>16</v>
      </c>
      <c r="R9" s="244">
        <v>17</v>
      </c>
      <c r="S9" s="230">
        <v>18</v>
      </c>
      <c r="T9" s="230">
        <v>19</v>
      </c>
      <c r="U9" s="230">
        <v>20</v>
      </c>
      <c r="V9" s="230">
        <v>21</v>
      </c>
      <c r="W9" s="230">
        <v>22</v>
      </c>
    </row>
    <row r="10" spans="1:23" ht="15">
      <c r="A10" s="174" t="s">
        <v>10</v>
      </c>
      <c r="B10" s="269">
        <f>SUM(D10*R10*$V$22)/$C$22</f>
        <v>0.9392978158509274</v>
      </c>
      <c r="C10" s="254">
        <f>SUM(D10*R10*V10)</f>
        <v>1310.0561820375824</v>
      </c>
      <c r="D10" s="260">
        <f>SUM($C$26*E10+$C$27*I10+$C$28*M10)</f>
        <v>0.8318000000000001</v>
      </c>
      <c r="E10" s="255">
        <f>SUM(((F10+0.25*W10/V10)/(F10+0.25*$W$22/$V$22))*(G10/$H$10))</f>
        <v>1</v>
      </c>
      <c r="F10" s="246">
        <v>1.6</v>
      </c>
      <c r="G10" s="247">
        <v>1</v>
      </c>
      <c r="H10" s="409">
        <f>SUM(V10+V11+V12+V13+V14+V15+V16+V17+V18+V19+V20+V21)/V22</f>
        <v>1</v>
      </c>
      <c r="I10" s="251">
        <f>SUM(1+J10*L10/ЧИСЛЕННОСТЬ!B10)/(1+$K$10*$L$22/ЧИСЛЕННОСТЬ!$B$22)</f>
        <v>1</v>
      </c>
      <c r="J10" s="246">
        <v>0</v>
      </c>
      <c r="K10" s="412">
        <v>1.5</v>
      </c>
      <c r="L10" s="174">
        <v>0</v>
      </c>
      <c r="M10" s="258">
        <f>SUM(N10+P10)/($O$10+$Q$10)</f>
        <v>0.5052941176470588</v>
      </c>
      <c r="N10" s="257">
        <f>SUM(ДАННЫЕ!AF11)</f>
        <v>51.54</v>
      </c>
      <c r="O10" s="403">
        <f>SUM(ДАННЫЕ!AH11)</f>
        <v>93.3</v>
      </c>
      <c r="P10" s="256">
        <f>SUM(ДАННЫЕ!AG11)</f>
        <v>0</v>
      </c>
      <c r="Q10" s="403">
        <f>SUM(ДАННЫЕ!AI11)</f>
        <v>8.7</v>
      </c>
      <c r="R10" s="260">
        <f>SUM($C$30*S10+$C$31*T10+$C$32*U10)</f>
        <v>0.959759509261269</v>
      </c>
      <c r="S10" s="261">
        <f>SUM(0.2*(($V$22/12)/V10)+0.8)</f>
        <v>0.9407678244972578</v>
      </c>
      <c r="T10" s="259">
        <f>SUM(1+ЧИСЛЕННОСТЬ!C10/ЧИСЛЕННОСТЬ!F10)/(1+ЧИСЛЕННОСТЬ!$C$22/ЧИСЛЕННОСТЬ!$F$22)</f>
        <v>1</v>
      </c>
      <c r="U10" s="261">
        <f>SUM(1+ЧИСЛЕННОСТЬ!H10/ЧИСЛЕННОСТЬ!B10)/(1+ЧИСЛЕННОСТЬ!$H$22/ЧИСЛЕННОСТЬ!$B$22)</f>
        <v>0.9391356681681581</v>
      </c>
      <c r="V10" s="206">
        <f>SUM(ЧИСЛЕННОСТЬ!F10)</f>
        <v>1641</v>
      </c>
      <c r="W10" s="206">
        <f>SUM(ЧИСЛЕННОСТЬ!G10)</f>
        <v>1641</v>
      </c>
    </row>
    <row r="11" spans="1:23" ht="15">
      <c r="A11" s="174" t="s">
        <v>11</v>
      </c>
      <c r="B11" s="269">
        <f aca="true" t="shared" si="0" ref="B11:B21">SUM(D11*R11*$V$22)/$C$22</f>
        <v>1.1299360372099008</v>
      </c>
      <c r="C11" s="254">
        <f aca="true" t="shared" si="1" ref="C11:C21">SUM(D11*R11*V11)</f>
        <v>578.1338236661327</v>
      </c>
      <c r="D11" s="260">
        <f aca="true" t="shared" si="2" ref="D11:D21">SUM($C$26*E11+$C$27*I11+$C$28*M11)</f>
        <v>0.8150666666666667</v>
      </c>
      <c r="E11" s="255">
        <f aca="true" t="shared" si="3" ref="E11:E21">SUM(((F11+0.25*W11/V11)/(F11+0.25*$W$22/$V$22))*(G11/$H$10))</f>
        <v>1</v>
      </c>
      <c r="F11" s="246">
        <v>1.6</v>
      </c>
      <c r="G11" s="247">
        <v>1</v>
      </c>
      <c r="H11" s="410"/>
      <c r="I11" s="251">
        <f>SUM(1+J11*L11/ЧИСЛЕННОСТЬ!B11)/(1+$K$10*$L$22/ЧИСЛЕННОСТЬ!$B$22)</f>
        <v>1</v>
      </c>
      <c r="J11" s="246">
        <v>0</v>
      </c>
      <c r="K11" s="413"/>
      <c r="L11" s="174">
        <v>0</v>
      </c>
      <c r="M11" s="258">
        <f aca="true" t="shared" si="4" ref="M11:M21">SUM(N11+P11)/($O$10+$Q$10)</f>
        <v>0.45607843137254905</v>
      </c>
      <c r="N11" s="257">
        <f>SUM(ДАННЫЕ!AF12)</f>
        <v>46.52</v>
      </c>
      <c r="O11" s="404"/>
      <c r="P11" s="256">
        <f>SUM(ДАННЫЕ!AG12)</f>
        <v>0</v>
      </c>
      <c r="Q11" s="404"/>
      <c r="R11" s="260">
        <f aca="true" t="shared" si="5" ref="R11:R21">SUM($C$30*S11+$C$31*T11+$C$32*U11)</f>
        <v>1.1782535442673487</v>
      </c>
      <c r="S11" s="261">
        <f aca="true" t="shared" si="6" ref="S11:S21">SUM(0.2*(($V$22/12)/V11)+0.8)</f>
        <v>1.1837209302325582</v>
      </c>
      <c r="T11" s="259">
        <f>SUM(1+ЧИСЛЕННОСТЬ!C11/ЧИСЛЕННОСТЬ!F11)/(1+ЧИСЛЕННОСТЬ!$C$22/ЧИСЛЕННОСТЬ!$F$22)</f>
        <v>1</v>
      </c>
      <c r="U11" s="261">
        <f>SUM(1+ЧИСЛЕННОСТЬ!H11/ЧИСЛЕННОСТЬ!B11)/(1+ЧИСЛЕННОСТЬ!$H$22/ЧИСЛЕННОСТЬ!$B$22)</f>
        <v>1.3459577567370722</v>
      </c>
      <c r="V11" s="206">
        <f>SUM(ЧИСЛЕННОСТЬ!F11)</f>
        <v>602</v>
      </c>
      <c r="W11" s="206">
        <f>SUM(ЧИСЛЕННОСТЬ!G11)</f>
        <v>602</v>
      </c>
    </row>
    <row r="12" spans="1:23" ht="15">
      <c r="A12" s="174" t="s">
        <v>12</v>
      </c>
      <c r="B12" s="269">
        <f t="shared" si="0"/>
        <v>1.2388793379518566</v>
      </c>
      <c r="C12" s="254">
        <f t="shared" si="1"/>
        <v>330.62575814887106</v>
      </c>
      <c r="D12" s="260">
        <f t="shared" si="2"/>
        <v>0.8134666666666667</v>
      </c>
      <c r="E12" s="255">
        <f t="shared" si="3"/>
        <v>1</v>
      </c>
      <c r="F12" s="246">
        <v>1.6</v>
      </c>
      <c r="G12" s="247">
        <v>1</v>
      </c>
      <c r="H12" s="410"/>
      <c r="I12" s="251">
        <f>SUM(1+J12*L12/ЧИСЛЕННОСТЬ!B12)/(1+$K$10*$L$22/ЧИСЛЕННОСТЬ!$B$22)</f>
        <v>1</v>
      </c>
      <c r="J12" s="246">
        <v>0</v>
      </c>
      <c r="K12" s="413"/>
      <c r="L12" s="174">
        <v>0</v>
      </c>
      <c r="M12" s="258">
        <f t="shared" si="4"/>
        <v>0.4513725490196078</v>
      </c>
      <c r="N12" s="257">
        <f>SUM(ДАННЫЕ!AF13)</f>
        <v>46.04</v>
      </c>
      <c r="O12" s="404"/>
      <c r="P12" s="256">
        <f>SUM(ДАННЫЕ!AG13)</f>
        <v>0</v>
      </c>
      <c r="Q12" s="404"/>
      <c r="R12" s="260">
        <f t="shared" si="5"/>
        <v>1.2943963379275472</v>
      </c>
      <c r="S12" s="261">
        <f t="shared" si="6"/>
        <v>1.5356687898089172</v>
      </c>
      <c r="T12" s="259">
        <f>SUM(1+ЧИСЛЕННОСТЬ!C12/ЧИСЛЕННОСТЬ!F12)/(1+ЧИСЛЕННОСТЬ!$C$22/ЧИСЛЕННОСТЬ!$F$22)</f>
        <v>1</v>
      </c>
      <c r="U12" s="261">
        <f>SUM(1+ЧИСЛЕННОСТЬ!H12/ЧИСЛЕННОСТЬ!B12)/(1+ЧИСЛЕННОСТЬ!$H$22/ЧИСЛЕННОСТЬ!$B$22)</f>
        <v>1.3459577567370722</v>
      </c>
      <c r="V12" s="206">
        <f>SUM(ЧИСЛЕННОСТЬ!F12)</f>
        <v>314</v>
      </c>
      <c r="W12" s="206">
        <f>SUM(ЧИСЛЕННОСТЬ!G12)</f>
        <v>314</v>
      </c>
    </row>
    <row r="13" spans="1:23" ht="15">
      <c r="A13" s="174" t="s">
        <v>13</v>
      </c>
      <c r="B13" s="269">
        <f t="shared" si="0"/>
        <v>1.0783664135722528</v>
      </c>
      <c r="C13" s="254">
        <f t="shared" si="1"/>
        <v>2691.834325840641</v>
      </c>
      <c r="D13" s="260">
        <f t="shared" si="2"/>
        <v>0.9921333333333334</v>
      </c>
      <c r="E13" s="255">
        <f t="shared" si="3"/>
        <v>1</v>
      </c>
      <c r="F13" s="246">
        <v>1.6</v>
      </c>
      <c r="G13" s="247">
        <v>1</v>
      </c>
      <c r="H13" s="410"/>
      <c r="I13" s="251">
        <f>SUM(1+J13*L13/ЧИСЛЕННОСТЬ!B13)/(1+$K$10*$L$22/ЧИСЛЕННОСТЬ!$B$22)</f>
        <v>1</v>
      </c>
      <c r="J13" s="246">
        <v>0</v>
      </c>
      <c r="K13" s="413"/>
      <c r="L13" s="174">
        <v>0</v>
      </c>
      <c r="M13" s="258">
        <f t="shared" si="4"/>
        <v>0.9768627450980393</v>
      </c>
      <c r="N13" s="257">
        <f>SUM(ДАННЫЕ!AF14)</f>
        <v>98.86</v>
      </c>
      <c r="O13" s="404"/>
      <c r="P13" s="256">
        <f>SUM(ДАННЫЕ!AG14)</f>
        <v>0.78</v>
      </c>
      <c r="Q13" s="404"/>
      <c r="R13" s="260">
        <f t="shared" si="5"/>
        <v>0.9237923025933534</v>
      </c>
      <c r="S13" s="261">
        <f t="shared" si="6"/>
        <v>0.8786516853932584</v>
      </c>
      <c r="T13" s="259">
        <f>SUM(1+ЧИСЛЕННОСТЬ!C13/ЧИСЛЕННОСТЬ!F13)/(1+ЧИСЛЕННОСТЬ!$C$22/ЧИСЛЕННОСТЬ!$F$22)</f>
        <v>1</v>
      </c>
      <c r="U13" s="261">
        <f>SUM(1+ЧИСЛЕННОСТЬ!H13/ЧИСЛЕННОСТЬ!B13)/(1+ЧИСЛЕННОСТЬ!$H$22/ЧИСЛЕННОСТЬ!$B$22)</f>
        <v>0.8936389600399355</v>
      </c>
      <c r="V13" s="206">
        <f>SUM(ЧИСЛЕННОСТЬ!F13)</f>
        <v>2937</v>
      </c>
      <c r="W13" s="206">
        <f>SUM(ЧИСЛЕННОСТЬ!G13)</f>
        <v>2937</v>
      </c>
    </row>
    <row r="14" spans="1:23" ht="15">
      <c r="A14" s="174" t="s">
        <v>14</v>
      </c>
      <c r="B14" s="269">
        <f t="shared" si="0"/>
        <v>1.1151890887907643</v>
      </c>
      <c r="C14" s="254">
        <f t="shared" si="1"/>
        <v>786.6918143226512</v>
      </c>
      <c r="D14" s="260">
        <f t="shared" si="2"/>
        <v>0.8289000000000001</v>
      </c>
      <c r="E14" s="255">
        <f t="shared" si="3"/>
        <v>1</v>
      </c>
      <c r="F14" s="246">
        <v>1.6</v>
      </c>
      <c r="G14" s="247">
        <v>1</v>
      </c>
      <c r="H14" s="410"/>
      <c r="I14" s="251">
        <f>SUM(1+J14*L14/ЧИСЛЕННОСТЬ!B14)/(1+$K$10*$L$22/ЧИСЛЕННОСТЬ!$B$22)</f>
        <v>1</v>
      </c>
      <c r="J14" s="246">
        <v>0</v>
      </c>
      <c r="K14" s="413"/>
      <c r="L14" s="174">
        <v>0</v>
      </c>
      <c r="M14" s="258">
        <f t="shared" si="4"/>
        <v>0.49676470588235294</v>
      </c>
      <c r="N14" s="257">
        <f>SUM(ДАННЫЕ!AF15)</f>
        <v>50.4</v>
      </c>
      <c r="O14" s="404"/>
      <c r="P14" s="256">
        <f>SUM(ДАННЫЕ!AG15)</f>
        <v>0.27</v>
      </c>
      <c r="Q14" s="404"/>
      <c r="R14" s="260">
        <f t="shared" si="5"/>
        <v>1.1434690107845804</v>
      </c>
      <c r="S14" s="261">
        <f t="shared" si="6"/>
        <v>1.0783132530120483</v>
      </c>
      <c r="T14" s="259">
        <f>SUM(1+ЧИСЛЕННОСТЬ!C14/ЧИСЛЕННОСТЬ!F14)/(1+ЧИСЛЕННОСТЬ!$C$22/ЧИСЛЕННОСТЬ!$F$22)</f>
        <v>1</v>
      </c>
      <c r="U14" s="261">
        <f>SUM(1+ЧИСЛЕННОСТЬ!H14/ЧИСЛЕННОСТЬ!B14)/(1+ЧИСЛЕННОСТЬ!$H$22/ЧИСЛЕННОСТЬ!$B$22)</f>
        <v>1.3459577567370722</v>
      </c>
      <c r="V14" s="206">
        <f>SUM(ЧИСЛЕННОСТЬ!F14)</f>
        <v>830</v>
      </c>
      <c r="W14" s="206">
        <f>SUM(ЧИСЛЕННОСТЬ!G14)</f>
        <v>830</v>
      </c>
    </row>
    <row r="15" spans="1:23" ht="15">
      <c r="A15" s="174" t="s">
        <v>15</v>
      </c>
      <c r="B15" s="269">
        <f t="shared" si="0"/>
        <v>1.1508676785358936</v>
      </c>
      <c r="C15" s="254">
        <f t="shared" si="1"/>
        <v>502.76673998033516</v>
      </c>
      <c r="D15" s="260">
        <f t="shared" si="2"/>
        <v>0.8151666666666667</v>
      </c>
      <c r="E15" s="255">
        <f t="shared" si="3"/>
        <v>1</v>
      </c>
      <c r="F15" s="246">
        <v>1.6</v>
      </c>
      <c r="G15" s="247">
        <v>1</v>
      </c>
      <c r="H15" s="410"/>
      <c r="I15" s="251">
        <f>SUM(1+J15*L15/ЧИСЛЕННОСТЬ!B15)/(1+$K$10*$L$22/ЧИСЛЕННОСТЬ!$B$22)</f>
        <v>1</v>
      </c>
      <c r="J15" s="246">
        <v>0</v>
      </c>
      <c r="K15" s="413"/>
      <c r="L15" s="174">
        <v>0</v>
      </c>
      <c r="M15" s="258">
        <f t="shared" si="4"/>
        <v>0.45637254901960783</v>
      </c>
      <c r="N15" s="257">
        <f>SUM(ДАННЫЕ!AF16)</f>
        <v>46.55</v>
      </c>
      <c r="O15" s="404"/>
      <c r="P15" s="256">
        <f>SUM(ДАННЫЕ!AG16)</f>
        <v>0</v>
      </c>
      <c r="Q15" s="404"/>
      <c r="R15" s="260">
        <f t="shared" si="5"/>
        <v>1.1999330302867137</v>
      </c>
      <c r="S15" s="261">
        <f t="shared" si="6"/>
        <v>1.2494163424124514</v>
      </c>
      <c r="T15" s="259">
        <f>SUM(1+ЧИСЛЕННОСТЬ!C15/ЧИСЛЕННОСТЬ!F15)/(1+ЧИСЛЕННОСТЬ!$C$22/ЧИСЛЕННОСТЬ!$F$22)</f>
        <v>1</v>
      </c>
      <c r="U15" s="261">
        <f>SUM(1+ЧИСЛЕННОСТЬ!H15/ЧИСЛЕННОСТЬ!B15)/(1+ЧИСЛЕННОСТЬ!$H$22/ЧИСЛЕННОСТЬ!$B$22)</f>
        <v>1.3459577567370722</v>
      </c>
      <c r="V15" s="206">
        <f>SUM(ЧИСЛЕННОСТЬ!F15)</f>
        <v>514</v>
      </c>
      <c r="W15" s="206">
        <f>SUM(ЧИСЛЕННОСТЬ!G15)</f>
        <v>514</v>
      </c>
    </row>
    <row r="16" spans="1:23" ht="15">
      <c r="A16" s="174" t="s">
        <v>16</v>
      </c>
      <c r="B16" s="269">
        <f t="shared" si="0"/>
        <v>0.9436296955960345</v>
      </c>
      <c r="C16" s="254">
        <f t="shared" si="1"/>
        <v>603.913312272105</v>
      </c>
      <c r="D16" s="260">
        <f t="shared" si="2"/>
        <v>0.8371000000000001</v>
      </c>
      <c r="E16" s="255">
        <f t="shared" si="3"/>
        <v>1</v>
      </c>
      <c r="F16" s="246">
        <v>1.6</v>
      </c>
      <c r="G16" s="247">
        <v>1</v>
      </c>
      <c r="H16" s="410"/>
      <c r="I16" s="251">
        <f>SUM(1+J16*L16/ЧИСЛЕННОСТЬ!B16)/(1+$K$10*$L$22/ЧИСЛЕННОСТЬ!$B$22)</f>
        <v>1</v>
      </c>
      <c r="J16" s="246">
        <v>0</v>
      </c>
      <c r="K16" s="413"/>
      <c r="L16" s="174">
        <v>0</v>
      </c>
      <c r="M16" s="258">
        <f t="shared" si="4"/>
        <v>0.5208823529411765</v>
      </c>
      <c r="N16" s="257">
        <f>SUM(ДАННЫЕ!AF17)</f>
        <v>53.13</v>
      </c>
      <c r="O16" s="404"/>
      <c r="P16" s="256">
        <f>SUM(ДАННЫЕ!AG17)</f>
        <v>0</v>
      </c>
      <c r="Q16" s="404"/>
      <c r="R16" s="260">
        <f t="shared" si="5"/>
        <v>0.9580811263322531</v>
      </c>
      <c r="S16" s="261">
        <f t="shared" si="6"/>
        <v>1.1067729083665339</v>
      </c>
      <c r="T16" s="259">
        <f>SUM(1+ЧИСЛЕННОСТЬ!C16/ЧИСЛЕННОСТЬ!F16)/(1+ЧИСЛЕННОСТЬ!$C$22/ЧИСЛЕННОСТЬ!$F$22)</f>
        <v>1</v>
      </c>
      <c r="U16" s="261">
        <f>SUM(1+ЧИСЛЕННОСТЬ!H16/ЧИСЛЕННОСТЬ!B16)/(1+ЧИСЛЕННОСТЬ!$H$22/ЧИСЛЕННОСТЬ!$B$22)</f>
        <v>0.773076666386167</v>
      </c>
      <c r="V16" s="206">
        <f>SUM(ЧИСЛЕННОСТЬ!F16)</f>
        <v>753</v>
      </c>
      <c r="W16" s="206">
        <f>SUM(ЧИСЛЕННОСТЬ!G16)</f>
        <v>753</v>
      </c>
    </row>
    <row r="17" spans="1:23" ht="15">
      <c r="A17" s="174" t="s">
        <v>18</v>
      </c>
      <c r="B17" s="269">
        <f t="shared" si="0"/>
        <v>0.8355477612876473</v>
      </c>
      <c r="C17" s="254">
        <f t="shared" si="1"/>
        <v>1033.266384442826</v>
      </c>
      <c r="D17" s="260">
        <f t="shared" si="2"/>
        <v>0.7906666666666666</v>
      </c>
      <c r="E17" s="255">
        <f t="shared" si="3"/>
        <v>1</v>
      </c>
      <c r="F17" s="246">
        <v>1.6</v>
      </c>
      <c r="G17" s="247">
        <v>1</v>
      </c>
      <c r="H17" s="410"/>
      <c r="I17" s="251">
        <f>SUM(1+J17*L17/ЧИСЛЕННОСТЬ!B17)/(1+$K$10*$L$22/ЧИСЛЕННОСТЬ!$B$22)</f>
        <v>1</v>
      </c>
      <c r="J17" s="246">
        <v>0</v>
      </c>
      <c r="K17" s="413"/>
      <c r="L17" s="174">
        <v>0</v>
      </c>
      <c r="M17" s="258">
        <f t="shared" si="4"/>
        <v>0.38431372549019605</v>
      </c>
      <c r="N17" s="257">
        <f>SUM(ДАННЫЕ!AF18)</f>
        <v>39.15</v>
      </c>
      <c r="O17" s="404"/>
      <c r="P17" s="256">
        <f>SUM(ДАННЫЕ!AG18)</f>
        <v>0.05</v>
      </c>
      <c r="Q17" s="404"/>
      <c r="R17" s="260">
        <f t="shared" si="5"/>
        <v>0.8981644829217381</v>
      </c>
      <c r="S17" s="261">
        <f t="shared" si="6"/>
        <v>0.9587628865979382</v>
      </c>
      <c r="T17" s="259">
        <f>SUM(1+ЧИСЛЕННОСТЬ!C17/ЧИСЛЕННОСТЬ!F17)/(1+ЧИСЛЕННОСТЬ!$C$22/ЧИСЛЕННОСТЬ!$F$22)</f>
        <v>1</v>
      </c>
      <c r="U17" s="261">
        <f>SUM(1+ЧИСЛЕННОСТЬ!H17/ЧИСЛЕННОСТЬ!B17)/(1+ЧИСЛЕННОСТЬ!$H$22/ЧИСЛЕННОСТЬ!$B$22)</f>
        <v>0.7405080304247603</v>
      </c>
      <c r="V17" s="206">
        <f>SUM(ЧИСЛЕННОСТЬ!F17)</f>
        <v>1455</v>
      </c>
      <c r="W17" s="206">
        <f>SUM(ЧИСЛЕННОСТЬ!G17)</f>
        <v>1455</v>
      </c>
    </row>
    <row r="18" spans="1:23" ht="15">
      <c r="A18" s="174" t="s">
        <v>17</v>
      </c>
      <c r="B18" s="269">
        <f t="shared" si="0"/>
        <v>0.9747856384357216</v>
      </c>
      <c r="C18" s="254">
        <f t="shared" si="1"/>
        <v>1479.6827264863805</v>
      </c>
      <c r="D18" s="260">
        <f t="shared" si="2"/>
        <v>0.8315666666666668</v>
      </c>
      <c r="E18" s="255">
        <f t="shared" si="3"/>
        <v>1</v>
      </c>
      <c r="F18" s="246">
        <v>1.6</v>
      </c>
      <c r="G18" s="247">
        <v>1</v>
      </c>
      <c r="H18" s="410"/>
      <c r="I18" s="251">
        <f>SUM(1+J18*L18/ЧИСЛЕННОСТЬ!B18)/(1+$K$10*$L$22/ЧИСЛЕННОСТЬ!$B$22)</f>
        <v>1</v>
      </c>
      <c r="J18" s="246">
        <v>0</v>
      </c>
      <c r="K18" s="413"/>
      <c r="L18" s="174">
        <v>0</v>
      </c>
      <c r="M18" s="258">
        <f t="shared" si="4"/>
        <v>0.5046078431372549</v>
      </c>
      <c r="N18" s="257">
        <f>SUM(ДАННЫЕ!AF19)</f>
        <v>50.24</v>
      </c>
      <c r="O18" s="404"/>
      <c r="P18" s="256">
        <f>SUM(ДАННЫЕ!AG19)</f>
        <v>1.23</v>
      </c>
      <c r="Q18" s="404"/>
      <c r="R18" s="260">
        <f t="shared" si="5"/>
        <v>0.996299877904459</v>
      </c>
      <c r="S18" s="261">
        <f t="shared" si="6"/>
        <v>0.9293393057110862</v>
      </c>
      <c r="T18" s="259">
        <f>SUM(1+ЧИСЛЕННОСТЬ!C18/ЧИСЛЕННОСТЬ!F18)/(1+ЧИСЛЕННОСТЬ!$C$22/ЧИСЛЕННОСТЬ!$F$22)</f>
        <v>1</v>
      </c>
      <c r="U18" s="261">
        <f>SUM(1+ЧИСЛЕННОСТЬ!H18/ЧИСЛЕННОСТЬ!B18)/(1+ЧИСЛЕННОСТЬ!$H$22/ЧИСЛЕННОСТЬ!$B$22)</f>
        <v>1.0576997265288246</v>
      </c>
      <c r="V18" s="206">
        <f>SUM(ЧИСЛЕННОСТЬ!F18)</f>
        <v>1786</v>
      </c>
      <c r="W18" s="206">
        <f>SUM(ЧИСЛЕННОСТЬ!G18)</f>
        <v>1786</v>
      </c>
    </row>
    <row r="19" spans="1:23" ht="15">
      <c r="A19" s="174" t="s">
        <v>19</v>
      </c>
      <c r="B19" s="269">
        <f t="shared" si="0"/>
        <v>1.1645814716202714</v>
      </c>
      <c r="C19" s="254">
        <f t="shared" si="1"/>
        <v>535.4823599126003</v>
      </c>
      <c r="D19" s="260">
        <f t="shared" si="2"/>
        <v>0.8300000000000001</v>
      </c>
      <c r="E19" s="255">
        <f t="shared" si="3"/>
        <v>1</v>
      </c>
      <c r="F19" s="246">
        <v>1.6</v>
      </c>
      <c r="G19" s="247">
        <v>1</v>
      </c>
      <c r="H19" s="410"/>
      <c r="I19" s="251">
        <f>SUM(1+J19*L19/ЧИСЛЕННОСТЬ!B19)/(1+$K$10*$L$22/ЧИСЛЕННОСТЬ!$B$22)</f>
        <v>1</v>
      </c>
      <c r="J19" s="246">
        <v>0</v>
      </c>
      <c r="K19" s="413"/>
      <c r="L19" s="174">
        <v>0</v>
      </c>
      <c r="M19" s="258">
        <f t="shared" si="4"/>
        <v>0.5</v>
      </c>
      <c r="N19" s="257">
        <f>SUM(ДАННЫЕ!AF20)</f>
        <v>51</v>
      </c>
      <c r="O19" s="404"/>
      <c r="P19" s="256">
        <f>SUM(ДАННЫЕ!AG20)</f>
        <v>0</v>
      </c>
      <c r="Q19" s="404"/>
      <c r="R19" s="260">
        <f t="shared" si="5"/>
        <v>1.1925313674199947</v>
      </c>
      <c r="S19" s="261">
        <f t="shared" si="6"/>
        <v>1.2269870609981517</v>
      </c>
      <c r="T19" s="259">
        <f>SUM(1+ЧИСЛЕННОСТЬ!C19/ЧИСЛЕННОСТЬ!F19)/(1+ЧИСЛЕННОСТЬ!$C$22/ЧИСЛЕННОСТЬ!$F$22)</f>
        <v>1</v>
      </c>
      <c r="U19" s="261">
        <f>SUM(1+ЧИСЛЕННОСТЬ!H19/ЧИСЛЕННОСТЬ!B19)/(1+ЧИСЛЕННОСТЬ!$H$22/ЧИСЛЕННОСТЬ!$B$22)</f>
        <v>1.3459577567370722</v>
      </c>
      <c r="V19" s="206">
        <f>SUM(ЧИСЛЕННОСТЬ!F19)</f>
        <v>541</v>
      </c>
      <c r="W19" s="206">
        <f>SUM(ЧИСЛЕННОСТЬ!G19)</f>
        <v>541</v>
      </c>
    </row>
    <row r="20" spans="1:23" ht="15">
      <c r="A20" s="174" t="s">
        <v>20</v>
      </c>
      <c r="B20" s="269">
        <f t="shared" si="0"/>
        <v>0.8297548125584566</v>
      </c>
      <c r="C20" s="254">
        <f t="shared" si="1"/>
        <v>1256.7112620138385</v>
      </c>
      <c r="D20" s="260">
        <f t="shared" si="2"/>
        <v>0.7758333333333334</v>
      </c>
      <c r="E20" s="255">
        <f t="shared" si="3"/>
        <v>1</v>
      </c>
      <c r="F20" s="246">
        <v>1.6</v>
      </c>
      <c r="G20" s="247">
        <v>1</v>
      </c>
      <c r="H20" s="410"/>
      <c r="I20" s="251">
        <f>SUM(1+J20*L20/ЧИСЛЕННОСТЬ!B20)/(1+$K$10*$L$22/ЧИСЛЕННОСТЬ!$B$22)</f>
        <v>1</v>
      </c>
      <c r="J20" s="246">
        <v>0</v>
      </c>
      <c r="K20" s="413"/>
      <c r="L20" s="174">
        <v>0</v>
      </c>
      <c r="M20" s="258">
        <f t="shared" si="4"/>
        <v>0.34068627450980393</v>
      </c>
      <c r="N20" s="257">
        <f>SUM(ДАННЫЕ!AF21)</f>
        <v>34.75</v>
      </c>
      <c r="O20" s="404"/>
      <c r="P20" s="256">
        <f>SUM(ДАННЫЕ!AG21)</f>
        <v>0</v>
      </c>
      <c r="Q20" s="404"/>
      <c r="R20" s="260">
        <f t="shared" si="5"/>
        <v>0.908990558657711</v>
      </c>
      <c r="S20" s="261">
        <f t="shared" si="6"/>
        <v>0.9296296296296297</v>
      </c>
      <c r="T20" s="259">
        <f>SUM(1+ЧИСЛЕННОСТЬ!C20/ЧИСЛЕННОСТЬ!F20)/(1+ЧИСЛЕННОСТЬ!$C$22/ЧИСЛЕННОСТЬ!$F$22)</f>
        <v>1</v>
      </c>
      <c r="U20" s="261">
        <f>SUM(1+ЧИСЛЕННОСТЬ!H20/ЧИСЛЕННОСТЬ!B20)/(1+ЧИСЛЕННОСТЬ!$H$22/ЧИСЛЕННОСТЬ!$B$22)</f>
        <v>0.8006258261174503</v>
      </c>
      <c r="V20" s="206">
        <f>SUM(ЧИСЛЕННОСТЬ!F20)</f>
        <v>1782</v>
      </c>
      <c r="W20" s="206">
        <f>SUM(ЧИСЛЕННОСТЬ!G20)</f>
        <v>1782</v>
      </c>
    </row>
    <row r="21" spans="1:23" ht="15">
      <c r="A21" s="174" t="s">
        <v>21</v>
      </c>
      <c r="B21" s="269">
        <f t="shared" si="0"/>
        <v>1.1193810421512331</v>
      </c>
      <c r="C21" s="254">
        <f t="shared" si="1"/>
        <v>670.7259229424619</v>
      </c>
      <c r="D21" s="260">
        <f t="shared" si="2"/>
        <v>0.8203333333333334</v>
      </c>
      <c r="E21" s="255">
        <f t="shared" si="3"/>
        <v>1</v>
      </c>
      <c r="F21" s="246">
        <v>1.6</v>
      </c>
      <c r="G21" s="247">
        <v>1</v>
      </c>
      <c r="H21" s="411"/>
      <c r="I21" s="251">
        <f>SUM(1+J21*L21/ЧИСЛЕННОСТЬ!B21)/(1+$K$10*$L$22/ЧИСЛЕННОСТЬ!$B$22)</f>
        <v>1</v>
      </c>
      <c r="J21" s="246">
        <v>0</v>
      </c>
      <c r="K21" s="414"/>
      <c r="L21" s="174">
        <v>0</v>
      </c>
      <c r="M21" s="258">
        <f t="shared" si="4"/>
        <v>0.4715686274509804</v>
      </c>
      <c r="N21" s="257">
        <f>SUM(ДАННЫЕ!AF22)</f>
        <v>48.1</v>
      </c>
      <c r="O21" s="405"/>
      <c r="P21" s="256">
        <f>SUM(ДАННЫЕ!AG22)</f>
        <v>0</v>
      </c>
      <c r="Q21" s="405"/>
      <c r="R21" s="260">
        <f t="shared" si="5"/>
        <v>1.1597532968650728</v>
      </c>
      <c r="S21" s="261">
        <f t="shared" si="6"/>
        <v>1.127659574468085</v>
      </c>
      <c r="T21" s="259">
        <f>SUM(1+ЧИСЛЕННОСТЬ!C21/ЧИСЛЕННОСТЬ!F21)/(1+ЧИСЛЕННОСТЬ!$C$22/ЧИСЛЕННОСТЬ!$F$22)</f>
        <v>1</v>
      </c>
      <c r="U21" s="261">
        <f>SUM(1+ЧИСЛЕННОСТЬ!H21/ЧИСЛЕННОСТЬ!B21)/(1+ЧИСЛЕННОСТЬ!$H$22/ЧИСЛЕННОСТЬ!$B$22)</f>
        <v>1.3459577567370722</v>
      </c>
      <c r="V21" s="206">
        <f>SUM(ЧИСЛЕННОСТЬ!F21)</f>
        <v>705</v>
      </c>
      <c r="W21" s="206">
        <f>SUM(ЧИСЛЕННОСТЬ!G21)</f>
        <v>705</v>
      </c>
    </row>
    <row r="22" spans="1:23" ht="15">
      <c r="A22" s="175" t="s">
        <v>2</v>
      </c>
      <c r="B22" s="231"/>
      <c r="C22" s="268">
        <f>SUM(C10+C11+C12+C13+C14+C15+C16+C17+C18+C19+C20+C21)</f>
        <v>11779.890612066425</v>
      </c>
      <c r="D22" s="245"/>
      <c r="E22" s="252"/>
      <c r="F22" s="246"/>
      <c r="G22" s="246"/>
      <c r="H22" s="231"/>
      <c r="I22" s="249"/>
      <c r="J22" s="246"/>
      <c r="K22" s="246"/>
      <c r="L22" s="194">
        <f>SUM(L10:L21)</f>
        <v>0</v>
      </c>
      <c r="M22" s="249"/>
      <c r="N22" s="246"/>
      <c r="O22" s="246"/>
      <c r="P22" s="246"/>
      <c r="Q22" s="246"/>
      <c r="R22" s="245"/>
      <c r="S22" s="231"/>
      <c r="T22" s="231"/>
      <c r="U22" s="231"/>
      <c r="V22" s="194">
        <f>SUM(V10:V21)</f>
        <v>13860</v>
      </c>
      <c r="W22" s="194">
        <f>SUM(W10:W21)</f>
        <v>13860</v>
      </c>
    </row>
    <row r="24" spans="2:3" ht="15">
      <c r="B24" s="379" t="s">
        <v>431</v>
      </c>
      <c r="C24" s="379"/>
    </row>
    <row r="25" spans="2:3" ht="15">
      <c r="B25" s="231" t="s">
        <v>409</v>
      </c>
      <c r="C25" s="254">
        <f>SUM(C26+C27+C28)</f>
        <v>1</v>
      </c>
    </row>
    <row r="26" spans="2:3" ht="15">
      <c r="B26" s="174" t="s">
        <v>101</v>
      </c>
      <c r="C26" s="253">
        <f>SUM('Распределение дотации'!C29)</f>
        <v>0.33</v>
      </c>
    </row>
    <row r="27" spans="2:3" ht="15">
      <c r="B27" s="174" t="s">
        <v>102</v>
      </c>
      <c r="C27" s="253">
        <f>SUM('Распределение дотации'!C30)</f>
        <v>0.33</v>
      </c>
    </row>
    <row r="28" spans="2:3" ht="15">
      <c r="B28" s="174" t="s">
        <v>103</v>
      </c>
      <c r="C28" s="253">
        <f>SUM('Распределение дотации'!C31)</f>
        <v>0.34</v>
      </c>
    </row>
    <row r="29" spans="2:3" ht="15">
      <c r="B29" s="231" t="s">
        <v>410</v>
      </c>
      <c r="C29" s="254">
        <f>SUM(C30+C31+C32)</f>
        <v>1</v>
      </c>
    </row>
    <row r="30" spans="2:3" ht="15">
      <c r="B30" s="174" t="s">
        <v>133</v>
      </c>
      <c r="C30" s="253">
        <f>SUM('Распределение дотации'!C33)</f>
        <v>0.33</v>
      </c>
    </row>
    <row r="31" spans="2:3" ht="15">
      <c r="B31" s="174" t="s">
        <v>134</v>
      </c>
      <c r="C31" s="253">
        <f>SUM('Распределение дотации'!C34)</f>
        <v>0.33</v>
      </c>
    </row>
    <row r="32" spans="2:3" ht="15">
      <c r="B32" s="174" t="s">
        <v>135</v>
      </c>
      <c r="C32" s="253">
        <f>SUM('Распределение дотации'!C35)</f>
        <v>0.34</v>
      </c>
    </row>
  </sheetData>
  <sheetProtection/>
  <mergeCells count="12">
    <mergeCell ref="A5:A9"/>
    <mergeCell ref="B5:C5"/>
    <mergeCell ref="B2:D2"/>
    <mergeCell ref="H10:H21"/>
    <mergeCell ref="K10:K21"/>
    <mergeCell ref="B24:C24"/>
    <mergeCell ref="N7:N8"/>
    <mergeCell ref="O7:O8"/>
    <mergeCell ref="P7:P8"/>
    <mergeCell ref="Q7:Q8"/>
    <mergeCell ref="O10:O21"/>
    <mergeCell ref="Q10:Q21"/>
  </mergeCells>
  <printOptions/>
  <pageMargins left="0.2362204724409449" right="0.31496062992125984" top="0.7480314960629921" bottom="0.7480314960629921" header="0.31496062992125984" footer="0.31496062992125984"/>
  <pageSetup fitToWidth="2" fitToHeight="1" horizontalDpi="600" verticalDpi="600" orientation="landscape" paperSize="9" scale="43" r:id="rId1"/>
</worksheet>
</file>

<file path=xl/worksheets/sheet5.xml><?xml version="1.0" encoding="utf-8"?>
<worksheet xmlns="http://schemas.openxmlformats.org/spreadsheetml/2006/main" xmlns:r="http://schemas.openxmlformats.org/officeDocument/2006/relationships">
  <sheetPr>
    <pageSetUpPr fitToPage="1"/>
  </sheetPr>
  <dimension ref="A2:H22"/>
  <sheetViews>
    <sheetView zoomScalePageLayoutView="0" workbookViewId="0" topLeftCell="A1">
      <pane xSplit="1" topLeftCell="B1" activePane="topRight" state="frozen"/>
      <selection pane="topLeft" activeCell="A1" sqref="A1"/>
      <selection pane="topRight" activeCell="F6" sqref="F6"/>
    </sheetView>
  </sheetViews>
  <sheetFormatPr defaultColWidth="9.00390625" defaultRowHeight="12.75"/>
  <cols>
    <col min="1" max="1" width="15.125" style="16" customWidth="1"/>
    <col min="2" max="2" width="19.875" style="16" customWidth="1"/>
    <col min="3" max="3" width="25.125" style="16" customWidth="1"/>
    <col min="4" max="5" width="23.75390625" style="16" customWidth="1"/>
    <col min="6" max="6" width="17.25390625" style="16" customWidth="1"/>
    <col min="7" max="7" width="21.875" style="16" customWidth="1"/>
    <col min="8" max="8" width="21.375" style="16" customWidth="1"/>
    <col min="9" max="9" width="26.00390625" style="16" customWidth="1"/>
    <col min="10" max="10" width="19.75390625" style="16" customWidth="1"/>
    <col min="11" max="11" width="16.75390625" style="16" customWidth="1"/>
    <col min="12" max="16384" width="9.125" style="16" customWidth="1"/>
  </cols>
  <sheetData>
    <row r="1" ht="15.75" customHeight="1"/>
    <row r="2" spans="2:6" s="235" customFormat="1" ht="14.25">
      <c r="B2" s="378" t="s">
        <v>430</v>
      </c>
      <c r="C2" s="378"/>
      <c r="D2" s="378"/>
      <c r="E2" s="243"/>
      <c r="F2" s="243"/>
    </row>
    <row r="5" spans="1:8" s="36" customFormat="1" ht="123" customHeight="1">
      <c r="A5" s="406"/>
      <c r="B5" s="229" t="s">
        <v>377</v>
      </c>
      <c r="C5" s="263" t="s">
        <v>379</v>
      </c>
      <c r="D5" s="263" t="s">
        <v>380</v>
      </c>
      <c r="E5" s="263" t="s">
        <v>389</v>
      </c>
      <c r="F5" s="237" t="s">
        <v>385</v>
      </c>
      <c r="G5" s="237" t="s">
        <v>381</v>
      </c>
      <c r="H5" s="189" t="s">
        <v>424</v>
      </c>
    </row>
    <row r="6" spans="1:8" s="36" customFormat="1" ht="29.25" customHeight="1">
      <c r="A6" s="406"/>
      <c r="B6" s="241" t="s">
        <v>215</v>
      </c>
      <c r="C6" s="264" t="s">
        <v>384</v>
      </c>
      <c r="D6" s="264" t="s">
        <v>383</v>
      </c>
      <c r="E6" s="264" t="s">
        <v>390</v>
      </c>
      <c r="F6" s="238" t="s">
        <v>314</v>
      </c>
      <c r="G6" s="237" t="s">
        <v>83</v>
      </c>
      <c r="H6" s="189" t="s">
        <v>425</v>
      </c>
    </row>
    <row r="7" spans="1:8" s="36" customFormat="1" ht="90" customHeight="1">
      <c r="A7" s="406"/>
      <c r="B7" s="230" t="s">
        <v>382</v>
      </c>
      <c r="C7" s="415" t="s">
        <v>378</v>
      </c>
      <c r="D7" s="415" t="s">
        <v>378</v>
      </c>
      <c r="E7" s="415" t="s">
        <v>378</v>
      </c>
      <c r="F7" s="230" t="s">
        <v>386</v>
      </c>
      <c r="G7" s="237" t="s">
        <v>388</v>
      </c>
      <c r="H7" s="189" t="s">
        <v>378</v>
      </c>
    </row>
    <row r="8" spans="1:8" s="36" customFormat="1" ht="15">
      <c r="A8" s="406"/>
      <c r="B8" s="230" t="s">
        <v>387</v>
      </c>
      <c r="C8" s="416"/>
      <c r="D8" s="416"/>
      <c r="E8" s="416"/>
      <c r="F8" s="230" t="s">
        <v>391</v>
      </c>
      <c r="G8" s="237"/>
      <c r="H8" s="233"/>
    </row>
    <row r="9" spans="1:8" s="36" customFormat="1" ht="15">
      <c r="A9" s="406"/>
      <c r="B9" s="230">
        <v>1</v>
      </c>
      <c r="C9" s="35">
        <v>2</v>
      </c>
      <c r="D9" s="35">
        <v>3</v>
      </c>
      <c r="E9" s="35">
        <v>4</v>
      </c>
      <c r="F9" s="230">
        <v>5</v>
      </c>
      <c r="G9" s="230">
        <v>6</v>
      </c>
      <c r="H9" s="233"/>
    </row>
    <row r="10" spans="1:8" ht="15">
      <c r="A10" s="174" t="s">
        <v>10</v>
      </c>
      <c r="B10" s="239">
        <f>SUM(C10+D10)</f>
        <v>1641</v>
      </c>
      <c r="C10" s="265">
        <v>0</v>
      </c>
      <c r="D10" s="266">
        <v>1641</v>
      </c>
      <c r="E10" s="266">
        <v>0</v>
      </c>
      <c r="F10" s="242">
        <f aca="true" t="shared" si="0" ref="F10:F21">SUM(C10+G10)</f>
        <v>1641</v>
      </c>
      <c r="G10" s="242">
        <f>SUM(D10*(1-($D$22+$C$22+$E$22-$B$22)/$D$22))</f>
        <v>1641</v>
      </c>
      <c r="H10" s="62">
        <v>649</v>
      </c>
    </row>
    <row r="11" spans="1:8" ht="15">
      <c r="A11" s="174" t="s">
        <v>11</v>
      </c>
      <c r="B11" s="239">
        <f aca="true" t="shared" si="1" ref="B11:B21">SUM(C11+D11)</f>
        <v>602</v>
      </c>
      <c r="C11" s="265">
        <v>0</v>
      </c>
      <c r="D11" s="266">
        <v>602</v>
      </c>
      <c r="E11" s="266">
        <v>0</v>
      </c>
      <c r="F11" s="242">
        <f t="shared" si="0"/>
        <v>602</v>
      </c>
      <c r="G11" s="242">
        <f aca="true" t="shared" si="2" ref="G11:G21">SUM(D11*(1-($D$22+$C$22+$E$22-$B$22)/$D$22))</f>
        <v>602</v>
      </c>
      <c r="H11" s="62">
        <v>602</v>
      </c>
    </row>
    <row r="12" spans="1:8" ht="15">
      <c r="A12" s="174" t="s">
        <v>12</v>
      </c>
      <c r="B12" s="239">
        <f t="shared" si="1"/>
        <v>314</v>
      </c>
      <c r="C12" s="265">
        <v>0</v>
      </c>
      <c r="D12" s="266">
        <v>314</v>
      </c>
      <c r="E12" s="266">
        <v>0</v>
      </c>
      <c r="F12" s="242">
        <f t="shared" si="0"/>
        <v>314</v>
      </c>
      <c r="G12" s="242">
        <f t="shared" si="2"/>
        <v>314</v>
      </c>
      <c r="H12" s="62">
        <v>314</v>
      </c>
    </row>
    <row r="13" spans="1:8" ht="15">
      <c r="A13" s="174" t="s">
        <v>13</v>
      </c>
      <c r="B13" s="239">
        <f t="shared" si="1"/>
        <v>2937</v>
      </c>
      <c r="C13" s="265">
        <v>0</v>
      </c>
      <c r="D13" s="266">
        <v>2937</v>
      </c>
      <c r="E13" s="266">
        <v>0</v>
      </c>
      <c r="F13" s="242">
        <f t="shared" si="0"/>
        <v>2937</v>
      </c>
      <c r="G13" s="242">
        <f t="shared" si="2"/>
        <v>2937</v>
      </c>
      <c r="H13" s="62">
        <v>963</v>
      </c>
    </row>
    <row r="14" spans="1:8" ht="15">
      <c r="A14" s="174" t="s">
        <v>14</v>
      </c>
      <c r="B14" s="239">
        <f t="shared" si="1"/>
        <v>830</v>
      </c>
      <c r="C14" s="265">
        <v>0</v>
      </c>
      <c r="D14" s="266">
        <v>830</v>
      </c>
      <c r="E14" s="266">
        <v>0</v>
      </c>
      <c r="F14" s="242">
        <f t="shared" si="0"/>
        <v>830</v>
      </c>
      <c r="G14" s="242">
        <f t="shared" si="2"/>
        <v>830</v>
      </c>
      <c r="H14" s="62">
        <v>830</v>
      </c>
    </row>
    <row r="15" spans="1:8" ht="15">
      <c r="A15" s="174" t="s">
        <v>15</v>
      </c>
      <c r="B15" s="239">
        <f t="shared" si="1"/>
        <v>514</v>
      </c>
      <c r="C15" s="265">
        <v>0</v>
      </c>
      <c r="D15" s="266">
        <v>514</v>
      </c>
      <c r="E15" s="266">
        <v>0</v>
      </c>
      <c r="F15" s="242">
        <f t="shared" si="0"/>
        <v>514</v>
      </c>
      <c r="G15" s="242">
        <f t="shared" si="2"/>
        <v>514</v>
      </c>
      <c r="H15" s="62">
        <v>514</v>
      </c>
    </row>
    <row r="16" spans="1:8" ht="15">
      <c r="A16" s="174" t="s">
        <v>16</v>
      </c>
      <c r="B16" s="239">
        <f t="shared" si="1"/>
        <v>753</v>
      </c>
      <c r="C16" s="265">
        <v>0</v>
      </c>
      <c r="D16" s="266">
        <v>753</v>
      </c>
      <c r="E16" s="266">
        <v>0</v>
      </c>
      <c r="F16" s="242">
        <f t="shared" si="0"/>
        <v>753</v>
      </c>
      <c r="G16" s="242">
        <f t="shared" si="2"/>
        <v>753</v>
      </c>
      <c r="H16" s="62">
        <v>112</v>
      </c>
    </row>
    <row r="17" spans="1:8" ht="15">
      <c r="A17" s="174" t="s">
        <v>18</v>
      </c>
      <c r="B17" s="239">
        <f t="shared" si="1"/>
        <v>1455</v>
      </c>
      <c r="C17" s="265">
        <v>0</v>
      </c>
      <c r="D17" s="266">
        <v>1455</v>
      </c>
      <c r="E17" s="266">
        <v>0</v>
      </c>
      <c r="F17" s="242">
        <f t="shared" si="0"/>
        <v>1455</v>
      </c>
      <c r="G17" s="242">
        <f t="shared" si="2"/>
        <v>1455</v>
      </c>
      <c r="H17" s="62">
        <v>146</v>
      </c>
    </row>
    <row r="18" spans="1:8" ht="15">
      <c r="A18" s="174" t="s">
        <v>17</v>
      </c>
      <c r="B18" s="239">
        <f t="shared" si="1"/>
        <v>1786</v>
      </c>
      <c r="C18" s="265">
        <v>0</v>
      </c>
      <c r="D18" s="266">
        <v>1786</v>
      </c>
      <c r="E18" s="266">
        <v>0</v>
      </c>
      <c r="F18" s="242">
        <f t="shared" si="0"/>
        <v>1786</v>
      </c>
      <c r="G18" s="242">
        <f t="shared" si="2"/>
        <v>1786</v>
      </c>
      <c r="H18" s="62">
        <v>1021</v>
      </c>
    </row>
    <row r="19" spans="1:8" ht="15">
      <c r="A19" s="174" t="s">
        <v>19</v>
      </c>
      <c r="B19" s="239">
        <f t="shared" si="1"/>
        <v>541</v>
      </c>
      <c r="C19" s="265">
        <v>0</v>
      </c>
      <c r="D19" s="266">
        <v>541</v>
      </c>
      <c r="E19" s="266">
        <v>0</v>
      </c>
      <c r="F19" s="242">
        <f t="shared" si="0"/>
        <v>541</v>
      </c>
      <c r="G19" s="242">
        <f t="shared" si="2"/>
        <v>541</v>
      </c>
      <c r="H19" s="62">
        <v>541</v>
      </c>
    </row>
    <row r="20" spans="1:8" ht="15">
      <c r="A20" s="174" t="s">
        <v>20</v>
      </c>
      <c r="B20" s="239">
        <f t="shared" si="1"/>
        <v>1782</v>
      </c>
      <c r="C20" s="265">
        <v>0</v>
      </c>
      <c r="D20" s="266">
        <v>1782</v>
      </c>
      <c r="E20" s="266">
        <v>0</v>
      </c>
      <c r="F20" s="242">
        <f t="shared" si="0"/>
        <v>1782</v>
      </c>
      <c r="G20" s="242">
        <f t="shared" si="2"/>
        <v>1782</v>
      </c>
      <c r="H20" s="62">
        <v>338</v>
      </c>
    </row>
    <row r="21" spans="1:8" ht="15">
      <c r="A21" s="174" t="s">
        <v>21</v>
      </c>
      <c r="B21" s="239">
        <f t="shared" si="1"/>
        <v>705</v>
      </c>
      <c r="C21" s="265">
        <v>0</v>
      </c>
      <c r="D21" s="266">
        <v>705</v>
      </c>
      <c r="E21" s="266">
        <v>0</v>
      </c>
      <c r="F21" s="242">
        <f t="shared" si="0"/>
        <v>705</v>
      </c>
      <c r="G21" s="242">
        <f t="shared" si="2"/>
        <v>705</v>
      </c>
      <c r="H21" s="62">
        <v>705</v>
      </c>
    </row>
    <row r="22" spans="1:8" s="235" customFormat="1" ht="14.25">
      <c r="A22" s="175" t="s">
        <v>2</v>
      </c>
      <c r="B22" s="240">
        <f aca="true" t="shared" si="3" ref="B22:H22">SUM(B10:B21)</f>
        <v>13860</v>
      </c>
      <c r="C22" s="267">
        <f t="shared" si="3"/>
        <v>0</v>
      </c>
      <c r="D22" s="267">
        <f t="shared" si="3"/>
        <v>13860</v>
      </c>
      <c r="E22" s="267">
        <f t="shared" si="3"/>
        <v>0</v>
      </c>
      <c r="F22" s="240">
        <f t="shared" si="3"/>
        <v>13860</v>
      </c>
      <c r="G22" s="240">
        <f t="shared" si="3"/>
        <v>13860</v>
      </c>
      <c r="H22" s="262">
        <f t="shared" si="3"/>
        <v>6735</v>
      </c>
    </row>
  </sheetData>
  <sheetProtection/>
  <mergeCells count="5">
    <mergeCell ref="E7:E8"/>
    <mergeCell ref="B2:D2"/>
    <mergeCell ref="A5:A9"/>
    <mergeCell ref="C7:C8"/>
    <mergeCell ref="D7:D8"/>
  </mergeCells>
  <printOptions/>
  <pageMargins left="0.39" right="0.36" top="0.7480314960629921" bottom="0.7480314960629921" header="0.31496062992125984" footer="0.31496062992125984"/>
  <pageSetup fitToHeight="1" fitToWidth="1" horizontalDpi="600" verticalDpi="600" orientation="landscape" paperSize="9" scale="84" r:id="rId1"/>
</worksheet>
</file>

<file path=xl/worksheets/sheet6.xml><?xml version="1.0" encoding="utf-8"?>
<worksheet xmlns="http://schemas.openxmlformats.org/spreadsheetml/2006/main" xmlns:r="http://schemas.openxmlformats.org/officeDocument/2006/relationships">
  <sheetPr>
    <pageSetUpPr fitToPage="1"/>
  </sheetPr>
  <dimension ref="A2:CF39"/>
  <sheetViews>
    <sheetView zoomScale="80" zoomScaleNormal="80" zoomScalePageLayoutView="0" workbookViewId="0" topLeftCell="A1">
      <selection activeCell="H7" sqref="H7"/>
    </sheetView>
  </sheetViews>
  <sheetFormatPr defaultColWidth="9.00390625" defaultRowHeight="12.75"/>
  <cols>
    <col min="1" max="1" width="17.375" style="1" customWidth="1"/>
    <col min="2" max="2" width="14.125" style="1" customWidth="1"/>
    <col min="3" max="3" width="17.75390625" style="1" customWidth="1"/>
    <col min="4" max="4" width="16.625" style="1" customWidth="1"/>
    <col min="5" max="5" width="23.375" style="1" customWidth="1"/>
    <col min="6" max="6" width="23.875" style="1" customWidth="1"/>
    <col min="7" max="7" width="22.625" style="1" customWidth="1"/>
    <col min="8" max="8" width="17.875" style="1" customWidth="1"/>
    <col min="9" max="9" width="18.25390625" style="1" customWidth="1"/>
    <col min="10" max="10" width="21.125" style="1" customWidth="1"/>
    <col min="11" max="11" width="16.125" style="1" customWidth="1"/>
    <col min="12" max="17" width="16.875" style="1" customWidth="1"/>
    <col min="18" max="18" width="18.25390625" style="1" customWidth="1"/>
    <col min="19" max="19" width="19.875" style="1" customWidth="1"/>
    <col min="20" max="20" width="20.00390625" style="1" customWidth="1"/>
    <col min="21" max="21" width="21.25390625" style="1" customWidth="1"/>
    <col min="22" max="22" width="19.375" style="1" customWidth="1"/>
    <col min="23" max="23" width="17.25390625" style="1" customWidth="1"/>
    <col min="24" max="24" width="16.25390625" style="1" customWidth="1"/>
    <col min="25" max="25" width="13.75390625" style="1" customWidth="1"/>
    <col min="26" max="26" width="15.25390625" style="1" customWidth="1"/>
    <col min="27" max="27" width="14.125" style="1" customWidth="1"/>
    <col min="28" max="28" width="15.375" style="1" customWidth="1"/>
    <col min="29" max="30" width="12.375" style="1" customWidth="1"/>
    <col min="31" max="31" width="12.75390625" style="1" customWidth="1"/>
    <col min="32" max="32" width="17.375" style="1" customWidth="1"/>
    <col min="33" max="33" width="12.375" style="1" customWidth="1"/>
    <col min="34" max="34" width="13.125" style="1" customWidth="1"/>
    <col min="35" max="35" width="12.625" style="1" customWidth="1"/>
    <col min="36" max="36" width="16.875" style="1" customWidth="1"/>
    <col min="37" max="37" width="14.125" style="1" customWidth="1"/>
    <col min="38" max="38" width="16.875" style="1" customWidth="1"/>
    <col min="39" max="39" width="9.00390625" style="1" customWidth="1"/>
    <col min="40" max="41" width="12.75390625" style="1" customWidth="1"/>
    <col min="42" max="42" width="15.375" style="1" customWidth="1"/>
    <col min="43" max="43" width="13.625" style="1" customWidth="1"/>
    <col min="44" max="44" width="12.875" style="1" customWidth="1"/>
    <col min="45" max="45" width="11.875" style="1" customWidth="1"/>
    <col min="46" max="46" width="13.625" style="1" customWidth="1"/>
    <col min="47" max="47" width="13.75390625" style="1" customWidth="1"/>
    <col min="48" max="48" width="12.125" style="1" customWidth="1"/>
    <col min="49" max="49" width="18.125" style="1" customWidth="1"/>
    <col min="50" max="50" width="16.125" style="1" customWidth="1"/>
    <col min="51" max="51" width="20.00390625" style="1" customWidth="1"/>
    <col min="52" max="52" width="21.875" style="1" customWidth="1"/>
    <col min="53" max="53" width="15.375" style="1" customWidth="1"/>
    <col min="54" max="54" width="20.125" style="1" customWidth="1"/>
    <col min="55" max="55" width="23.125" style="1" customWidth="1"/>
    <col min="56" max="56" width="21.875" style="1" customWidth="1"/>
    <col min="57" max="57" width="18.25390625" style="1" customWidth="1"/>
    <col min="58" max="58" width="29.75390625" style="1" customWidth="1"/>
    <col min="59" max="59" width="29.25390625" style="1" customWidth="1"/>
    <col min="60" max="60" width="20.75390625" style="1" customWidth="1"/>
    <col min="61" max="61" width="9.125" style="1" customWidth="1"/>
    <col min="62" max="62" width="8.00390625" style="1" customWidth="1"/>
    <col min="63" max="63" width="9.00390625" style="1" customWidth="1"/>
    <col min="64" max="64" width="8.75390625" style="1" customWidth="1"/>
    <col min="65" max="65" width="7.375" style="1" customWidth="1"/>
    <col min="66" max="66" width="9.625" style="1" customWidth="1"/>
    <col min="67" max="67" width="20.375" style="1" customWidth="1"/>
    <col min="68" max="68" width="22.25390625" style="1" customWidth="1"/>
    <col min="69" max="69" width="28.75390625" style="1" customWidth="1"/>
    <col min="70" max="70" width="17.125" style="1" customWidth="1"/>
    <col min="71" max="71" width="26.375" style="1" customWidth="1"/>
    <col min="72" max="72" width="21.125" style="1" customWidth="1"/>
    <col min="73" max="73" width="20.625" style="1" customWidth="1"/>
    <col min="74" max="74" width="20.375" style="1" customWidth="1"/>
    <col min="75" max="75" width="20.375" style="1" hidden="1" customWidth="1"/>
    <col min="76" max="76" width="19.25390625" style="1" customWidth="1"/>
    <col min="77" max="77" width="26.75390625" style="1" customWidth="1"/>
    <col min="78" max="78" width="21.25390625" style="1" customWidth="1"/>
    <col min="79" max="79" width="16.125" style="1" customWidth="1"/>
    <col min="80" max="80" width="15.00390625" style="7" customWidth="1"/>
    <col min="81" max="81" width="13.375" style="1" customWidth="1"/>
    <col min="82" max="82" width="19.125" style="1" customWidth="1"/>
    <col min="83" max="83" width="14.00390625" style="1" customWidth="1"/>
    <col min="84" max="84" width="13.25390625" style="1" customWidth="1"/>
    <col min="85" max="16384" width="9.125" style="1" customWidth="1"/>
  </cols>
  <sheetData>
    <row r="2" spans="2:10" ht="15.75" customHeight="1">
      <c r="B2" s="417" t="s">
        <v>276</v>
      </c>
      <c r="C2" s="417"/>
      <c r="D2" s="417"/>
      <c r="E2" s="417"/>
      <c r="F2" s="417"/>
      <c r="G2" s="417"/>
      <c r="H2" s="417"/>
      <c r="I2" s="417"/>
      <c r="J2" s="417"/>
    </row>
    <row r="3" spans="2:7" ht="12.75">
      <c r="B3" s="160"/>
      <c r="C3" s="160"/>
      <c r="D3" s="160"/>
      <c r="E3" s="160"/>
      <c r="F3" s="160"/>
      <c r="G3" s="160"/>
    </row>
    <row r="4" spans="2:7" ht="12.75">
      <c r="B4" s="430" t="s">
        <v>231</v>
      </c>
      <c r="C4" s="430"/>
      <c r="D4" s="160"/>
      <c r="E4" s="160"/>
      <c r="F4" s="160"/>
      <c r="G4" s="160"/>
    </row>
    <row r="5" spans="2:81" ht="12.75">
      <c r="B5" s="18"/>
      <c r="C5" s="431" t="s">
        <v>41</v>
      </c>
      <c r="D5" s="432"/>
      <c r="E5" s="432"/>
      <c r="F5" s="432"/>
      <c r="G5" s="433"/>
      <c r="H5" s="63"/>
      <c r="CB5" s="1"/>
      <c r="CC5" s="7"/>
    </row>
    <row r="6" spans="2:81" s="16" customFormat="1" ht="54.75" customHeight="1">
      <c r="B6" s="19">
        <v>1</v>
      </c>
      <c r="C6" s="434" t="s">
        <v>35</v>
      </c>
      <c r="D6" s="435"/>
      <c r="E6" s="435"/>
      <c r="F6" s="436"/>
      <c r="G6" s="22" t="s">
        <v>166</v>
      </c>
      <c r="H6" s="153" t="e">
        <f>SUM(0.05*(H7+H13+H14)-H16)</f>
        <v>#REF!</v>
      </c>
      <c r="I6" s="167">
        <v>5500000</v>
      </c>
      <c r="J6" s="437" t="s">
        <v>233</v>
      </c>
      <c r="K6" s="437"/>
      <c r="L6" s="437"/>
      <c r="M6" s="437"/>
      <c r="N6" s="437"/>
      <c r="O6" s="437"/>
      <c r="CC6" s="17"/>
    </row>
    <row r="7" spans="2:81" s="16" customFormat="1" ht="15">
      <c r="B7" s="20">
        <v>2</v>
      </c>
      <c r="C7" s="418" t="s">
        <v>224</v>
      </c>
      <c r="D7" s="419"/>
      <c r="E7" s="419"/>
      <c r="F7" s="420"/>
      <c r="G7" s="23" t="s">
        <v>46</v>
      </c>
      <c r="H7" s="64">
        <f>SUM(H8-H9)</f>
        <v>37846100</v>
      </c>
      <c r="J7" s="421" t="s">
        <v>234</v>
      </c>
      <c r="K7" s="422"/>
      <c r="L7" s="422"/>
      <c r="M7" s="422"/>
      <c r="N7" s="422"/>
      <c r="O7" s="423"/>
      <c r="CC7" s="17"/>
    </row>
    <row r="8" spans="2:81" s="16" customFormat="1" ht="15">
      <c r="B8" s="21">
        <v>3</v>
      </c>
      <c r="C8" s="427" t="s">
        <v>36</v>
      </c>
      <c r="D8" s="428"/>
      <c r="E8" s="428"/>
      <c r="F8" s="429"/>
      <c r="G8" s="15" t="s">
        <v>43</v>
      </c>
      <c r="H8" s="62">
        <f>SUM(ДАННЫЕ!H29)</f>
        <v>37846100</v>
      </c>
      <c r="J8" s="424"/>
      <c r="K8" s="425"/>
      <c r="L8" s="425"/>
      <c r="M8" s="425"/>
      <c r="N8" s="425"/>
      <c r="O8" s="426"/>
      <c r="CC8" s="17"/>
    </row>
    <row r="9" spans="2:81" s="16" customFormat="1" ht="15">
      <c r="B9" s="21">
        <v>4</v>
      </c>
      <c r="C9" s="427" t="s">
        <v>34</v>
      </c>
      <c r="D9" s="428"/>
      <c r="E9" s="428"/>
      <c r="F9" s="429"/>
      <c r="G9" s="15"/>
      <c r="H9" s="62">
        <f>SUM(H10+H11+H12)</f>
        <v>0</v>
      </c>
      <c r="J9" s="439" t="s">
        <v>235</v>
      </c>
      <c r="K9" s="440"/>
      <c r="L9" s="440"/>
      <c r="M9" s="440"/>
      <c r="N9" s="440"/>
      <c r="O9" s="441"/>
      <c r="CC9" s="17"/>
    </row>
    <row r="10" spans="2:81" s="149" customFormat="1" ht="15">
      <c r="B10" s="146"/>
      <c r="C10" s="448"/>
      <c r="D10" s="449"/>
      <c r="E10" s="449"/>
      <c r="F10" s="450"/>
      <c r="G10" s="147"/>
      <c r="H10" s="148"/>
      <c r="J10" s="442"/>
      <c r="K10" s="443"/>
      <c r="L10" s="443"/>
      <c r="M10" s="443"/>
      <c r="N10" s="443"/>
      <c r="O10" s="444"/>
      <c r="CC10" s="150"/>
    </row>
    <row r="11" spans="2:81" s="149" customFormat="1" ht="15">
      <c r="B11" s="146"/>
      <c r="C11" s="448"/>
      <c r="D11" s="449"/>
      <c r="E11" s="449"/>
      <c r="F11" s="450"/>
      <c r="G11" s="147"/>
      <c r="H11" s="148"/>
      <c r="J11" s="442"/>
      <c r="K11" s="443"/>
      <c r="L11" s="443"/>
      <c r="M11" s="443"/>
      <c r="N11" s="443"/>
      <c r="O11" s="444"/>
      <c r="CC11" s="150"/>
    </row>
    <row r="12" spans="2:81" s="149" customFormat="1" ht="15">
      <c r="B12" s="146"/>
      <c r="C12" s="448"/>
      <c r="D12" s="449"/>
      <c r="E12" s="449"/>
      <c r="F12" s="450"/>
      <c r="G12" s="147"/>
      <c r="H12" s="148"/>
      <c r="J12" s="442"/>
      <c r="K12" s="443"/>
      <c r="L12" s="443"/>
      <c r="M12" s="443"/>
      <c r="N12" s="443"/>
      <c r="O12" s="444"/>
      <c r="CC12" s="150"/>
    </row>
    <row r="13" spans="2:81" s="16" customFormat="1" ht="15">
      <c r="B13" s="21">
        <v>5</v>
      </c>
      <c r="C13" s="427" t="s">
        <v>225</v>
      </c>
      <c r="D13" s="428"/>
      <c r="E13" s="428"/>
      <c r="F13" s="429"/>
      <c r="G13" s="15" t="s">
        <v>44</v>
      </c>
      <c r="H13" s="62" t="e">
        <f>SUM(ДАННЫЕ!#REF!)</f>
        <v>#REF!</v>
      </c>
      <c r="J13" s="445"/>
      <c r="K13" s="446"/>
      <c r="L13" s="446"/>
      <c r="M13" s="446"/>
      <c r="N13" s="446"/>
      <c r="O13" s="447"/>
      <c r="CC13" s="17"/>
    </row>
    <row r="14" spans="2:81" s="16" customFormat="1" ht="15">
      <c r="B14" s="20">
        <v>6</v>
      </c>
      <c r="C14" s="418" t="s">
        <v>226</v>
      </c>
      <c r="D14" s="419"/>
      <c r="E14" s="419"/>
      <c r="F14" s="420"/>
      <c r="G14" s="23" t="s">
        <v>47</v>
      </c>
      <c r="H14" s="64">
        <f>SUM(H15+H9)</f>
        <v>24306800</v>
      </c>
      <c r="J14" s="451" t="s">
        <v>236</v>
      </c>
      <c r="K14" s="452"/>
      <c r="L14" s="452"/>
      <c r="M14" s="452"/>
      <c r="N14" s="452"/>
      <c r="O14" s="453"/>
      <c r="CC14" s="17"/>
    </row>
    <row r="15" spans="2:81" s="16" customFormat="1" ht="15">
      <c r="B15" s="21">
        <v>7</v>
      </c>
      <c r="C15" s="427" t="s">
        <v>39</v>
      </c>
      <c r="D15" s="428"/>
      <c r="E15" s="428"/>
      <c r="F15" s="429"/>
      <c r="G15" s="15" t="s">
        <v>45</v>
      </c>
      <c r="H15" s="62">
        <f>SUM(ДАННЫЕ!H30)</f>
        <v>24306800</v>
      </c>
      <c r="J15" s="439" t="s">
        <v>237</v>
      </c>
      <c r="K15" s="440"/>
      <c r="L15" s="440"/>
      <c r="M15" s="440"/>
      <c r="N15" s="440"/>
      <c r="O15" s="441"/>
      <c r="CC15" s="17"/>
    </row>
    <row r="16" spans="2:81" s="16" customFormat="1" ht="15.75">
      <c r="B16" s="21">
        <v>8</v>
      </c>
      <c r="C16" s="427" t="s">
        <v>37</v>
      </c>
      <c r="D16" s="428"/>
      <c r="E16" s="428"/>
      <c r="F16" s="429"/>
      <c r="G16" s="15" t="s">
        <v>38</v>
      </c>
      <c r="H16" s="62"/>
      <c r="J16" s="445"/>
      <c r="K16" s="446"/>
      <c r="L16" s="446"/>
      <c r="M16" s="446"/>
      <c r="N16" s="446"/>
      <c r="O16" s="447"/>
      <c r="CC16" s="17"/>
    </row>
    <row r="17" spans="2:7" ht="12.75">
      <c r="B17" s="14"/>
      <c r="C17" s="14"/>
      <c r="D17" s="14"/>
      <c r="E17" s="13"/>
      <c r="F17" s="13"/>
      <c r="G17" s="13"/>
    </row>
    <row r="18" spans="1:7" ht="12.75">
      <c r="A18" s="6" t="s">
        <v>232</v>
      </c>
      <c r="B18" s="438"/>
      <c r="C18" s="438"/>
      <c r="D18" s="160"/>
      <c r="E18" s="160"/>
      <c r="F18" s="160"/>
      <c r="G18" s="160"/>
    </row>
    <row r="19" spans="1:75" ht="12.75">
      <c r="A19" s="1" t="s">
        <v>28</v>
      </c>
      <c r="U19" s="7"/>
      <c r="V19" s="7"/>
      <c r="W19" s="7"/>
      <c r="X19" s="7"/>
      <c r="Y19" s="7"/>
      <c r="BW19" s="92" t="s">
        <v>239</v>
      </c>
    </row>
    <row r="20" spans="1:83" s="2" customFormat="1" ht="232.5" customHeight="1">
      <c r="A20" s="397" t="s">
        <v>0</v>
      </c>
      <c r="B20" s="25" t="s">
        <v>271</v>
      </c>
      <c r="C20" s="12" t="s">
        <v>49</v>
      </c>
      <c r="D20" s="39" t="s">
        <v>228</v>
      </c>
      <c r="E20" s="39" t="s">
        <v>53</v>
      </c>
      <c r="F20" s="70" t="s">
        <v>54</v>
      </c>
      <c r="G20" s="39" t="s">
        <v>56</v>
      </c>
      <c r="H20" s="39" t="s">
        <v>227</v>
      </c>
      <c r="I20" s="39" t="s">
        <v>58</v>
      </c>
      <c r="J20" s="39" t="s">
        <v>30</v>
      </c>
      <c r="K20" s="39" t="s">
        <v>31</v>
      </c>
      <c r="L20" s="39" t="s">
        <v>30</v>
      </c>
      <c r="M20" s="39" t="s">
        <v>229</v>
      </c>
      <c r="N20" s="457" t="s">
        <v>30</v>
      </c>
      <c r="O20" s="458"/>
      <c r="P20" s="458"/>
      <c r="Q20" s="459"/>
      <c r="R20" s="460" t="s">
        <v>71</v>
      </c>
      <c r="S20" s="461"/>
      <c r="T20" s="461"/>
      <c r="U20" s="461"/>
      <c r="V20" s="462"/>
      <c r="W20" s="93" t="s">
        <v>240</v>
      </c>
      <c r="X20" s="93" t="s">
        <v>245</v>
      </c>
      <c r="Y20" s="463" t="s">
        <v>246</v>
      </c>
      <c r="Z20" s="464"/>
      <c r="AA20" s="464"/>
      <c r="AB20" s="465"/>
      <c r="AC20" s="463" t="s">
        <v>247</v>
      </c>
      <c r="AD20" s="464"/>
      <c r="AE20" s="464"/>
      <c r="AF20" s="465"/>
      <c r="AG20" s="454" t="s">
        <v>266</v>
      </c>
      <c r="AH20" s="455"/>
      <c r="AI20" s="455"/>
      <c r="AJ20" s="455"/>
      <c r="AK20" s="456"/>
      <c r="AL20" s="155" t="s">
        <v>214</v>
      </c>
      <c r="AM20" s="460" t="s">
        <v>74</v>
      </c>
      <c r="AN20" s="461"/>
      <c r="AO20" s="461"/>
      <c r="AP20" s="461"/>
      <c r="AQ20" s="461"/>
      <c r="AR20" s="462"/>
      <c r="AS20" s="463" t="s">
        <v>75</v>
      </c>
      <c r="AT20" s="464"/>
      <c r="AU20" s="464"/>
      <c r="AV20" s="465"/>
      <c r="AW20" s="39" t="s">
        <v>79</v>
      </c>
      <c r="AX20" s="12" t="s">
        <v>8</v>
      </c>
      <c r="AY20" s="12" t="s">
        <v>119</v>
      </c>
      <c r="AZ20" s="12" t="s">
        <v>124</v>
      </c>
      <c r="BA20" s="12" t="s">
        <v>120</v>
      </c>
      <c r="BB20" s="12" t="s">
        <v>122</v>
      </c>
      <c r="BC20" s="81" t="s">
        <v>94</v>
      </c>
      <c r="BD20" s="81" t="s">
        <v>97</v>
      </c>
      <c r="BE20" s="81"/>
      <c r="BF20" s="55" t="s">
        <v>105</v>
      </c>
      <c r="BG20" s="55" t="s">
        <v>108</v>
      </c>
      <c r="BH20" s="55" t="s">
        <v>109</v>
      </c>
      <c r="BI20" s="478" t="s">
        <v>104</v>
      </c>
      <c r="BJ20" s="479"/>
      <c r="BK20" s="480"/>
      <c r="BL20" s="478" t="s">
        <v>132</v>
      </c>
      <c r="BM20" s="479"/>
      <c r="BN20" s="480"/>
      <c r="BO20" s="107" t="s">
        <v>111</v>
      </c>
      <c r="BP20" s="81" t="s">
        <v>114</v>
      </c>
      <c r="BQ20" s="81" t="s">
        <v>115</v>
      </c>
      <c r="BR20" s="81" t="s">
        <v>118</v>
      </c>
      <c r="BS20" s="107" t="s">
        <v>128</v>
      </c>
      <c r="BT20" s="81" t="s">
        <v>136</v>
      </c>
      <c r="BU20" s="81" t="s">
        <v>138</v>
      </c>
      <c r="BV20" s="81" t="s">
        <v>186</v>
      </c>
      <c r="BW20" s="107"/>
      <c r="BX20" s="107" t="s">
        <v>90</v>
      </c>
      <c r="BY20" s="155" t="s">
        <v>211</v>
      </c>
      <c r="BZ20" s="156" t="s">
        <v>212</v>
      </c>
      <c r="CA20" s="93" t="s">
        <v>210</v>
      </c>
      <c r="CB20" s="93" t="s">
        <v>213</v>
      </c>
      <c r="CC20" s="93" t="s">
        <v>88</v>
      </c>
      <c r="CD20" s="93" t="s">
        <v>90</v>
      </c>
      <c r="CE20" s="93" t="s">
        <v>92</v>
      </c>
    </row>
    <row r="21" spans="1:83" s="54" customFormat="1" ht="141.75" customHeight="1">
      <c r="A21" s="398"/>
      <c r="B21" s="49" t="s">
        <v>48</v>
      </c>
      <c r="C21" s="50" t="s">
        <v>50</v>
      </c>
      <c r="D21" s="51" t="s">
        <v>51</v>
      </c>
      <c r="E21" s="51" t="s">
        <v>22</v>
      </c>
      <c r="F21" s="65" t="s">
        <v>55</v>
      </c>
      <c r="G21" s="51" t="s">
        <v>57</v>
      </c>
      <c r="H21" s="51" t="s">
        <v>26</v>
      </c>
      <c r="I21" s="51" t="s">
        <v>23</v>
      </c>
      <c r="J21" s="51" t="s">
        <v>24</v>
      </c>
      <c r="K21" s="49" t="s">
        <v>32</v>
      </c>
      <c r="L21" s="49" t="s">
        <v>60</v>
      </c>
      <c r="M21" s="49" t="s">
        <v>25</v>
      </c>
      <c r="N21" s="49" t="s">
        <v>168</v>
      </c>
      <c r="O21" s="49" t="s">
        <v>169</v>
      </c>
      <c r="P21" s="49" t="s">
        <v>170</v>
      </c>
      <c r="Q21" s="49" t="s">
        <v>171</v>
      </c>
      <c r="R21" s="51" t="s">
        <v>3</v>
      </c>
      <c r="S21" s="51" t="s">
        <v>4</v>
      </c>
      <c r="T21" s="51" t="s">
        <v>29</v>
      </c>
      <c r="U21" s="52" t="s">
        <v>5</v>
      </c>
      <c r="V21" s="52" t="s">
        <v>61</v>
      </c>
      <c r="W21" s="94" t="s">
        <v>3</v>
      </c>
      <c r="X21" s="94" t="s">
        <v>3</v>
      </c>
      <c r="Y21" s="94" t="s">
        <v>4</v>
      </c>
      <c r="Z21" s="94" t="s">
        <v>6</v>
      </c>
      <c r="AA21" s="94" t="s">
        <v>5</v>
      </c>
      <c r="AB21" s="151" t="s">
        <v>268</v>
      </c>
      <c r="AC21" s="94" t="s">
        <v>4</v>
      </c>
      <c r="AD21" s="94" t="s">
        <v>6</v>
      </c>
      <c r="AE21" s="94" t="s">
        <v>5</v>
      </c>
      <c r="AF21" s="151" t="s">
        <v>268</v>
      </c>
      <c r="AG21" s="50" t="s">
        <v>3</v>
      </c>
      <c r="AH21" s="50" t="s">
        <v>4</v>
      </c>
      <c r="AI21" s="50" t="s">
        <v>6</v>
      </c>
      <c r="AJ21" s="50" t="s">
        <v>5</v>
      </c>
      <c r="AK21" s="50" t="s">
        <v>61</v>
      </c>
      <c r="AL21" s="51" t="s">
        <v>215</v>
      </c>
      <c r="AM21" s="51" t="s">
        <v>4</v>
      </c>
      <c r="AN21" s="51" t="s">
        <v>219</v>
      </c>
      <c r="AO21" s="51" t="s">
        <v>6</v>
      </c>
      <c r="AP21" s="51" t="s">
        <v>219</v>
      </c>
      <c r="AQ21" s="51" t="s">
        <v>5</v>
      </c>
      <c r="AR21" s="51" t="s">
        <v>219</v>
      </c>
      <c r="AS21" s="94" t="s">
        <v>3</v>
      </c>
      <c r="AT21" s="94" t="s">
        <v>76</v>
      </c>
      <c r="AU21" s="94" t="s">
        <v>61</v>
      </c>
      <c r="AV21" s="94" t="s">
        <v>76</v>
      </c>
      <c r="AW21" s="51" t="s">
        <v>7</v>
      </c>
      <c r="AX21" s="50" t="s">
        <v>9</v>
      </c>
      <c r="AY21" s="50" t="s">
        <v>126</v>
      </c>
      <c r="AZ21" s="50" t="s">
        <v>127</v>
      </c>
      <c r="BA21" s="50" t="s">
        <v>121</v>
      </c>
      <c r="BB21" s="50" t="s">
        <v>123</v>
      </c>
      <c r="BC21" s="53" t="s">
        <v>95</v>
      </c>
      <c r="BD21" s="53" t="s">
        <v>96</v>
      </c>
      <c r="BE21" s="53" t="s">
        <v>99</v>
      </c>
      <c r="BF21" s="53" t="s">
        <v>106</v>
      </c>
      <c r="BG21" s="53" t="s">
        <v>107</v>
      </c>
      <c r="BH21" s="53" t="s">
        <v>110</v>
      </c>
      <c r="BI21" s="80" t="s">
        <v>101</v>
      </c>
      <c r="BJ21" s="80" t="s">
        <v>102</v>
      </c>
      <c r="BK21" s="80" t="s">
        <v>103</v>
      </c>
      <c r="BL21" s="80" t="s">
        <v>133</v>
      </c>
      <c r="BM21" s="80" t="s">
        <v>134</v>
      </c>
      <c r="BN21" s="80" t="s">
        <v>135</v>
      </c>
      <c r="BO21" s="108" t="s">
        <v>112</v>
      </c>
      <c r="BP21" s="53" t="s">
        <v>113</v>
      </c>
      <c r="BQ21" s="53" t="s">
        <v>116</v>
      </c>
      <c r="BR21" s="53" t="s">
        <v>117</v>
      </c>
      <c r="BS21" s="108" t="s">
        <v>129</v>
      </c>
      <c r="BT21" s="53" t="s">
        <v>137</v>
      </c>
      <c r="BU21" s="53" t="s">
        <v>139</v>
      </c>
      <c r="BV21" s="53" t="s">
        <v>188</v>
      </c>
      <c r="BW21" s="108"/>
      <c r="BX21" s="108" t="s">
        <v>130</v>
      </c>
      <c r="BY21" s="53" t="s">
        <v>83</v>
      </c>
      <c r="BZ21" s="108" t="s">
        <v>84</v>
      </c>
      <c r="CA21" s="94" t="s">
        <v>86</v>
      </c>
      <c r="CB21" s="94" t="s">
        <v>87</v>
      </c>
      <c r="CC21" s="94" t="s">
        <v>89</v>
      </c>
      <c r="CD21" s="94" t="s">
        <v>91</v>
      </c>
      <c r="CE21" s="94" t="s">
        <v>93</v>
      </c>
    </row>
    <row r="22" spans="1:83" s="61" customFormat="1" ht="12.75">
      <c r="A22" s="399"/>
      <c r="B22" s="59">
        <v>1</v>
      </c>
      <c r="C22" s="66">
        <v>2</v>
      </c>
      <c r="D22" s="60">
        <v>3</v>
      </c>
      <c r="E22" s="60">
        <v>4</v>
      </c>
      <c r="F22" s="66">
        <v>5</v>
      </c>
      <c r="G22" s="60">
        <v>6</v>
      </c>
      <c r="H22" s="60">
        <v>7</v>
      </c>
      <c r="I22" s="60">
        <v>8</v>
      </c>
      <c r="J22" s="60">
        <v>9</v>
      </c>
      <c r="K22" s="60">
        <v>10</v>
      </c>
      <c r="L22" s="60">
        <v>11</v>
      </c>
      <c r="M22" s="60">
        <v>12</v>
      </c>
      <c r="N22" s="59" t="s">
        <v>177</v>
      </c>
      <c r="O22" s="59" t="s">
        <v>178</v>
      </c>
      <c r="P22" s="59" t="s">
        <v>179</v>
      </c>
      <c r="Q22" s="59" t="s">
        <v>180</v>
      </c>
      <c r="R22" s="60">
        <v>13</v>
      </c>
      <c r="S22" s="60">
        <v>14</v>
      </c>
      <c r="T22" s="60">
        <v>15</v>
      </c>
      <c r="U22" s="60">
        <v>16</v>
      </c>
      <c r="V22" s="60">
        <v>17</v>
      </c>
      <c r="W22" s="95">
        <v>18</v>
      </c>
      <c r="X22" s="95">
        <v>19</v>
      </c>
      <c r="Y22" s="95">
        <v>20</v>
      </c>
      <c r="Z22" s="95">
        <v>21</v>
      </c>
      <c r="AA22" s="95">
        <v>22</v>
      </c>
      <c r="AB22" s="95">
        <v>23</v>
      </c>
      <c r="AC22" s="95">
        <v>24</v>
      </c>
      <c r="AD22" s="95">
        <v>25</v>
      </c>
      <c r="AE22" s="95">
        <v>26</v>
      </c>
      <c r="AF22" s="95">
        <v>27</v>
      </c>
      <c r="AG22" s="74">
        <v>28</v>
      </c>
      <c r="AH22" s="74">
        <v>29</v>
      </c>
      <c r="AI22" s="74">
        <v>30</v>
      </c>
      <c r="AJ22" s="74">
        <v>31</v>
      </c>
      <c r="AK22" s="74">
        <v>32</v>
      </c>
      <c r="AL22" s="60">
        <v>33</v>
      </c>
      <c r="AM22" s="60">
        <v>34</v>
      </c>
      <c r="AN22" s="60">
        <v>35</v>
      </c>
      <c r="AO22" s="60">
        <v>36</v>
      </c>
      <c r="AP22" s="60">
        <v>37</v>
      </c>
      <c r="AQ22" s="60">
        <v>38</v>
      </c>
      <c r="AR22" s="60">
        <v>39</v>
      </c>
      <c r="AS22" s="95">
        <v>40</v>
      </c>
      <c r="AT22" s="95">
        <v>41</v>
      </c>
      <c r="AU22" s="95">
        <v>42</v>
      </c>
      <c r="AV22" s="95">
        <v>43</v>
      </c>
      <c r="AW22" s="60">
        <v>44</v>
      </c>
      <c r="AX22" s="74">
        <v>45</v>
      </c>
      <c r="AY22" s="74">
        <v>46</v>
      </c>
      <c r="AZ22" s="74">
        <v>47</v>
      </c>
      <c r="BA22" s="74">
        <v>48</v>
      </c>
      <c r="BB22" s="74">
        <v>49</v>
      </c>
      <c r="BC22" s="60">
        <v>50</v>
      </c>
      <c r="BD22" s="60">
        <v>51</v>
      </c>
      <c r="BE22" s="60">
        <v>52</v>
      </c>
      <c r="BF22" s="60">
        <v>53</v>
      </c>
      <c r="BG22" s="60">
        <v>54</v>
      </c>
      <c r="BH22" s="60">
        <v>55</v>
      </c>
      <c r="BI22" s="74">
        <v>56</v>
      </c>
      <c r="BJ22" s="74">
        <v>57</v>
      </c>
      <c r="BK22" s="74">
        <v>58</v>
      </c>
      <c r="BL22" s="74">
        <v>59</v>
      </c>
      <c r="BM22" s="74">
        <v>60</v>
      </c>
      <c r="BN22" s="74">
        <v>61</v>
      </c>
      <c r="BO22" s="95">
        <v>62</v>
      </c>
      <c r="BP22" s="60">
        <v>63</v>
      </c>
      <c r="BQ22" s="60">
        <v>64</v>
      </c>
      <c r="BR22" s="60">
        <v>65</v>
      </c>
      <c r="BS22" s="95">
        <v>66</v>
      </c>
      <c r="BT22" s="60">
        <v>67</v>
      </c>
      <c r="BU22" s="60">
        <v>68</v>
      </c>
      <c r="BV22" s="60">
        <v>69</v>
      </c>
      <c r="BW22" s="95"/>
      <c r="BX22" s="95">
        <v>70</v>
      </c>
      <c r="BY22" s="60">
        <v>71</v>
      </c>
      <c r="BZ22" s="95">
        <v>72</v>
      </c>
      <c r="CA22" s="95">
        <v>73</v>
      </c>
      <c r="CB22" s="95">
        <v>74</v>
      </c>
      <c r="CC22" s="95">
        <v>75</v>
      </c>
      <c r="CD22" s="95">
        <v>76</v>
      </c>
      <c r="CE22" s="95">
        <v>80</v>
      </c>
    </row>
    <row r="23" spans="1:83" s="36" customFormat="1" ht="60">
      <c r="A23" s="32" t="s">
        <v>1</v>
      </c>
      <c r="B23" s="33" t="s">
        <v>167</v>
      </c>
      <c r="C23" s="34" t="s">
        <v>27</v>
      </c>
      <c r="D23" s="31" t="s">
        <v>52</v>
      </c>
      <c r="E23" s="31" t="s">
        <v>98</v>
      </c>
      <c r="F23" s="71" t="s">
        <v>149</v>
      </c>
      <c r="G23" s="31" t="s">
        <v>82</v>
      </c>
      <c r="H23" s="31" t="s">
        <v>65</v>
      </c>
      <c r="I23" s="31" t="s">
        <v>59</v>
      </c>
      <c r="J23" s="31" t="s">
        <v>72</v>
      </c>
      <c r="K23" s="31" t="s">
        <v>64</v>
      </c>
      <c r="L23" s="31" t="s">
        <v>73</v>
      </c>
      <c r="M23" s="31" t="s">
        <v>78</v>
      </c>
      <c r="N23" s="183" t="s">
        <v>172</v>
      </c>
      <c r="O23" s="183" t="s">
        <v>172</v>
      </c>
      <c r="P23" s="183" t="s">
        <v>172</v>
      </c>
      <c r="Q23" s="183" t="s">
        <v>172</v>
      </c>
      <c r="R23" s="31" t="s">
        <v>66</v>
      </c>
      <c r="S23" s="31" t="s">
        <v>67</v>
      </c>
      <c r="T23" s="31" t="s">
        <v>69</v>
      </c>
      <c r="U23" s="31" t="s">
        <v>68</v>
      </c>
      <c r="V23" s="31" t="s">
        <v>70</v>
      </c>
      <c r="W23" s="96" t="s">
        <v>241</v>
      </c>
      <c r="X23" s="96" t="s">
        <v>244</v>
      </c>
      <c r="Y23" s="466" t="s">
        <v>242</v>
      </c>
      <c r="Z23" s="467"/>
      <c r="AA23" s="467"/>
      <c r="AB23" s="468"/>
      <c r="AC23" s="466" t="s">
        <v>248</v>
      </c>
      <c r="AD23" s="467"/>
      <c r="AE23" s="467"/>
      <c r="AF23" s="468"/>
      <c r="AG23" s="469" t="s">
        <v>267</v>
      </c>
      <c r="AH23" s="470"/>
      <c r="AI23" s="470"/>
      <c r="AJ23" s="470"/>
      <c r="AK23" s="471"/>
      <c r="AL23" s="158" t="s">
        <v>82</v>
      </c>
      <c r="AM23" s="472" t="s">
        <v>269</v>
      </c>
      <c r="AN23" s="473"/>
      <c r="AO23" s="473"/>
      <c r="AP23" s="473"/>
      <c r="AQ23" s="473"/>
      <c r="AR23" s="474"/>
      <c r="AS23" s="466" t="s">
        <v>270</v>
      </c>
      <c r="AT23" s="467"/>
      <c r="AU23" s="467"/>
      <c r="AV23" s="468"/>
      <c r="AW23" s="31" t="s">
        <v>80</v>
      </c>
      <c r="AX23" s="35" t="s">
        <v>81</v>
      </c>
      <c r="AY23" s="35"/>
      <c r="AZ23" s="35"/>
      <c r="BA23" s="35"/>
      <c r="BB23" s="35"/>
      <c r="BC23" s="159" t="s">
        <v>100</v>
      </c>
      <c r="BD23" s="159" t="s">
        <v>131</v>
      </c>
      <c r="BE23" s="159"/>
      <c r="BF23" s="57" t="s">
        <v>182</v>
      </c>
      <c r="BG23" s="159" t="s">
        <v>183</v>
      </c>
      <c r="BH23" s="159" t="s">
        <v>125</v>
      </c>
      <c r="BI23" s="157"/>
      <c r="BJ23" s="157"/>
      <c r="BK23" s="157"/>
      <c r="BL23" s="157"/>
      <c r="BM23" s="157"/>
      <c r="BN23" s="157"/>
      <c r="BO23" s="154"/>
      <c r="BP23" s="159" t="s">
        <v>230</v>
      </c>
      <c r="BQ23" s="159"/>
      <c r="BR23" s="159"/>
      <c r="BS23" s="154"/>
      <c r="BT23" s="159" t="s">
        <v>184</v>
      </c>
      <c r="BU23" s="159" t="s">
        <v>208</v>
      </c>
      <c r="BV23" s="188" t="s">
        <v>187</v>
      </c>
      <c r="BW23" s="154"/>
      <c r="BX23" s="154"/>
      <c r="BY23" s="159" t="s">
        <v>85</v>
      </c>
      <c r="BZ23" s="466" t="s">
        <v>33</v>
      </c>
      <c r="CA23" s="467"/>
      <c r="CB23" s="467"/>
      <c r="CC23" s="468"/>
      <c r="CD23" s="96"/>
      <c r="CE23" s="96"/>
    </row>
    <row r="24" spans="1:83" s="4" customFormat="1" ht="28.5" customHeight="1">
      <c r="A24" s="3"/>
      <c r="B24" s="26" t="s">
        <v>190</v>
      </c>
      <c r="C24" s="24"/>
      <c r="D24" s="87" t="s">
        <v>193</v>
      </c>
      <c r="E24" s="28" t="s">
        <v>192</v>
      </c>
      <c r="F24" s="67"/>
      <c r="G24" s="28" t="s">
        <v>194</v>
      </c>
      <c r="H24" s="28" t="s">
        <v>195</v>
      </c>
      <c r="I24" s="28" t="s">
        <v>196</v>
      </c>
      <c r="J24" s="28" t="s">
        <v>216</v>
      </c>
      <c r="K24" s="40" t="s">
        <v>197</v>
      </c>
      <c r="L24" s="40" t="s">
        <v>181</v>
      </c>
      <c r="M24" s="28" t="s">
        <v>198</v>
      </c>
      <c r="N24" s="28" t="s">
        <v>173</v>
      </c>
      <c r="O24" s="28" t="s">
        <v>174</v>
      </c>
      <c r="P24" s="28" t="s">
        <v>175</v>
      </c>
      <c r="Q24" s="28" t="s">
        <v>176</v>
      </c>
      <c r="R24" s="28" t="s">
        <v>199</v>
      </c>
      <c r="S24" s="28" t="s">
        <v>200</v>
      </c>
      <c r="T24" s="28" t="s">
        <v>201</v>
      </c>
      <c r="U24" s="42" t="s">
        <v>202</v>
      </c>
      <c r="V24" s="42" t="s">
        <v>203</v>
      </c>
      <c r="W24" s="97"/>
      <c r="X24" s="97"/>
      <c r="Y24" s="97"/>
      <c r="Z24" s="97"/>
      <c r="AA24" s="97"/>
      <c r="AB24" s="97"/>
      <c r="AC24" s="97"/>
      <c r="AD24" s="97"/>
      <c r="AE24" s="97"/>
      <c r="AF24" s="97"/>
      <c r="AG24" s="9"/>
      <c r="AH24" s="9"/>
      <c r="AI24" s="9"/>
      <c r="AJ24" s="9"/>
      <c r="AK24" s="9"/>
      <c r="AL24" s="28" t="s">
        <v>189</v>
      </c>
      <c r="AM24" s="28" t="s">
        <v>221</v>
      </c>
      <c r="AN24" s="28"/>
      <c r="AO24" s="28" t="s">
        <v>222</v>
      </c>
      <c r="AP24" s="28"/>
      <c r="AQ24" s="28" t="s">
        <v>220</v>
      </c>
      <c r="AR24" s="28"/>
      <c r="AS24" s="97" t="s">
        <v>223</v>
      </c>
      <c r="AT24" s="97"/>
      <c r="AU24" s="97"/>
      <c r="AV24" s="97"/>
      <c r="AW24" s="28"/>
      <c r="AX24" s="162" t="s">
        <v>272</v>
      </c>
      <c r="AY24" s="12"/>
      <c r="AZ24" s="12"/>
      <c r="BA24" s="9"/>
      <c r="BB24" s="9"/>
      <c r="BC24" s="48" t="s">
        <v>205</v>
      </c>
      <c r="BD24" s="48" t="s">
        <v>204</v>
      </c>
      <c r="BE24" s="48" t="s">
        <v>206</v>
      </c>
      <c r="BF24" s="48" t="s">
        <v>191</v>
      </c>
      <c r="BG24" s="48" t="s">
        <v>217</v>
      </c>
      <c r="BH24" s="48" t="s">
        <v>207</v>
      </c>
      <c r="BI24" s="79"/>
      <c r="BJ24" s="79"/>
      <c r="BK24" s="79"/>
      <c r="BL24" s="79"/>
      <c r="BM24" s="79"/>
      <c r="BN24" s="79"/>
      <c r="BO24" s="109"/>
      <c r="BP24" s="48"/>
      <c r="BQ24" s="48"/>
      <c r="BR24" s="48"/>
      <c r="BS24" s="109"/>
      <c r="BT24" s="48" t="s">
        <v>185</v>
      </c>
      <c r="BU24" s="48" t="s">
        <v>209</v>
      </c>
      <c r="BV24" s="48" t="s">
        <v>218</v>
      </c>
      <c r="BW24" s="109"/>
      <c r="BX24" s="109"/>
      <c r="BY24" s="48"/>
      <c r="BZ24" s="109"/>
      <c r="CA24" s="109"/>
      <c r="CB24" s="109"/>
      <c r="CC24" s="112"/>
      <c r="CD24" s="97"/>
      <c r="CE24" s="97"/>
    </row>
    <row r="25" spans="1:84" ht="12.75">
      <c r="A25" s="5" t="s">
        <v>10</v>
      </c>
      <c r="B25" s="27">
        <f aca="true" t="shared" si="0" ref="B25:B36">IF($C$25&gt;D25,IF(($H$25/$G$37)*($C$25-D25)*E25*G25-F25&gt;0,($H$25/$G$37)*($C$25-D25)*E25*G25-F25,""),"")</f>
        <v>386512.1201400582</v>
      </c>
      <c r="C25" s="493">
        <v>0.9057177588515205</v>
      </c>
      <c r="D25" s="29">
        <f aca="true" t="shared" si="1" ref="D25:D36">SUM(I25/E25)</f>
        <v>0.5898685314830313</v>
      </c>
      <c r="E25" s="29">
        <f>SUM(BC25*BD25*$G$37/$BE$37)</f>
        <v>0.930960084747953</v>
      </c>
      <c r="F25" s="68">
        <f>SUM(ДАННЫЕ!D11)</f>
        <v>1305600</v>
      </c>
      <c r="G25" s="43">
        <f>SUM(BZ25+BY25)</f>
        <v>1613.2948051948053</v>
      </c>
      <c r="H25" s="496">
        <f>SUM(AG37+AH37+AI37+AJ37+AK37)</f>
        <v>48604100</v>
      </c>
      <c r="I25" s="29">
        <f>((J25/$K$25)+(L25-J25)/$K$25*0.25*M25)</f>
        <v>0.5491440580595934</v>
      </c>
      <c r="J25" s="43">
        <f aca="true" t="shared" si="2" ref="J25:J37">SUM((R25/$R$37*$AG$37/$G$37)+(S25/$S$37*$AH$37/$G$37)+(T25/$T$37*$AI$37/$G$37)+(U25/$U$37*$AJ$37/$G$37)+(V25/$V$37*$AK$37/$G$37))</f>
        <v>2409.2166087178302</v>
      </c>
      <c r="K25" s="496">
        <f>SUM(H25/G37)</f>
        <v>3567.0115954792304</v>
      </c>
      <c r="L25" s="85">
        <f>SUM(N25+O25+P25+Q25+(AU25/$AU$37*$AK$37/$CC$25))</f>
        <v>157.1496785641281</v>
      </c>
      <c r="M25" s="45">
        <f>SUM(AW25*AX25)</f>
        <v>0.8</v>
      </c>
      <c r="N25" s="83">
        <f aca="true" t="shared" si="3" ref="N25:N36">SUM((AS25/$AS$37)*($AG$37/$CC$25))</f>
        <v>108.82591991333287</v>
      </c>
      <c r="O25" s="83">
        <f aca="true" t="shared" si="4" ref="O25:O36">SUM(AM25/$AM$37*$AH$37/$CC$25)</f>
        <v>0</v>
      </c>
      <c r="P25" s="83">
        <f aca="true" t="shared" si="5" ref="P25:P36">SUM(AO25/$AO$37*$AI$37/$CC$25)</f>
        <v>26.07782064060566</v>
      </c>
      <c r="Q25" s="45">
        <f aca="true" t="shared" si="6" ref="Q25:Q36">IF(AQ$37&lt;0,(-AQ25/$AQ$37*$AJ$37/$CC$25),(AQ25/$AQ$37*$AJ$37/$CC$25))</f>
        <v>20.96275924218662</v>
      </c>
      <c r="R25" s="43">
        <f aca="true" t="shared" si="7" ref="R25:R37">SUM((W25*0.4+X25*0.6)/G25)</f>
        <v>4821.075754764414</v>
      </c>
      <c r="S25" s="37">
        <f aca="true" t="shared" si="8" ref="S25:S37">SUM((Y25*0.4+AC25*0.6)/G25)</f>
        <v>0</v>
      </c>
      <c r="T25" s="37">
        <f aca="true" t="shared" si="9" ref="T25:T37">SUM((Z25*0.4+AD25*0.6)/G25)</f>
        <v>6.259488326301664</v>
      </c>
      <c r="U25" s="44">
        <f aca="true" t="shared" si="10" ref="U25:U37">SUM((AA25*0.4+AE25*0.6)/G25)</f>
        <v>121.78294963038452</v>
      </c>
      <c r="V25" s="44">
        <f aca="true" t="shared" si="11" ref="V25:V36">SUM((AB25*0.4+AF25*0.6)/G25)</f>
        <v>17.076854094669535</v>
      </c>
      <c r="W25" s="98">
        <f>SUM(ДАННЫЕ!V11)</f>
        <v>7790404.5</v>
      </c>
      <c r="X25" s="98">
        <f>SUM(ДАННЫЕ!X11)</f>
        <v>7769424.45102009</v>
      </c>
      <c r="Y25" s="98">
        <f>SUM(ДАННЫЕ!J11)</f>
        <v>0</v>
      </c>
      <c r="Z25" s="98">
        <f>SUM(ДАННЫЕ!K11)</f>
        <v>30523</v>
      </c>
      <c r="AA25" s="98">
        <f>SUM(ДАННЫЕ!L11)</f>
        <v>387714</v>
      </c>
      <c r="AB25" s="98">
        <f>SUM(ДАННЫЕ!W11)</f>
        <v>34000</v>
      </c>
      <c r="AC25" s="98">
        <f>SUM(ДАННЫЕ!M11)</f>
        <v>0</v>
      </c>
      <c r="AD25" s="98">
        <f>SUM(ДАННЫЕ!Q11)</f>
        <v>-3518</v>
      </c>
      <c r="AE25" s="98">
        <f>SUM(ДАННЫЕ!R11)</f>
        <v>68977</v>
      </c>
      <c r="AF25" s="98">
        <f>SUM(ДАННЫЕ!Y11)</f>
        <v>23250</v>
      </c>
      <c r="AG25" s="10">
        <f>SUM(ДАННЫЕ!E11)</f>
        <v>2694600</v>
      </c>
      <c r="AH25" s="10">
        <f>SUM(ДАННЫЕ!F11)</f>
        <v>0</v>
      </c>
      <c r="AI25" s="10">
        <f>SUM(ДАННЫЕ!G11)</f>
        <v>270000</v>
      </c>
      <c r="AJ25" s="10">
        <f>SUM(ДАННЫЕ!H11)</f>
        <v>352500</v>
      </c>
      <c r="AK25" s="10">
        <f>SUM(ДАННЫЕ!I11)</f>
        <v>30000</v>
      </c>
      <c r="AL25" s="85">
        <f>SUM(BZ25+CA25)</f>
        <v>1641</v>
      </c>
      <c r="AM25" s="100">
        <f>SUM(AN25/CA25)</f>
        <v>0</v>
      </c>
      <c r="AN25" s="100">
        <f>SUM(ДАННЫЕ!P11)</f>
        <v>0</v>
      </c>
      <c r="AO25" s="100">
        <f>SUM(AP25/CA25)</f>
        <v>-2.1438147471054236</v>
      </c>
      <c r="AP25" s="100">
        <f>SUM(ДАННЫЕ!Q11)</f>
        <v>-3518</v>
      </c>
      <c r="AQ25" s="100">
        <f>SUM(AR25/CA25)</f>
        <v>42.03351614868982</v>
      </c>
      <c r="AR25" s="100">
        <f>SUM(ДАННЫЕ!R11)</f>
        <v>68977</v>
      </c>
      <c r="AS25" s="101">
        <f>SUM(AT25/CA25)</f>
        <v>1.3245846105814925</v>
      </c>
      <c r="AT25" s="102">
        <f>SUM(ДАННЫЕ!AB11)</f>
        <v>2173.643345964229</v>
      </c>
      <c r="AU25" s="102">
        <f>SUM(AV25/CA25)</f>
        <v>0.009201800172580701</v>
      </c>
      <c r="AV25" s="102">
        <f>SUM(ДАННЫЕ!AC11)</f>
        <v>15.10015408320493</v>
      </c>
      <c r="AW25" s="89">
        <v>0.8</v>
      </c>
      <c r="AX25" s="163">
        <v>1</v>
      </c>
      <c r="AY25" s="104">
        <f>SUM(ДАННЫЕ!AF11)</f>
        <v>51.54</v>
      </c>
      <c r="AZ25" s="499">
        <f>SUM(ДАННЫЕ!AH11)</f>
        <v>93.3</v>
      </c>
      <c r="BA25" s="105">
        <f>SUM(ДАННЫЕ!AG11)</f>
        <v>0</v>
      </c>
      <c r="BB25" s="499">
        <f>SUM(ДАННЫЕ!AI11)</f>
        <v>8.7</v>
      </c>
      <c r="BC25" s="45">
        <f>SUM($BI$25*BF25+$BJ$25*BG25+$BK$25*BH25)</f>
        <v>0.9015535294117649</v>
      </c>
      <c r="BD25" s="45">
        <f>SUM($BL$25*BT25+$BM$25*BU25+$BN$25*BV25)</f>
        <v>0.9407001714148443</v>
      </c>
      <c r="BE25" s="43">
        <f aca="true" t="shared" si="12" ref="BE25:BE36">SUM(BC25*BD25*G25)</f>
        <v>1368.2217075246906</v>
      </c>
      <c r="BF25" s="45">
        <f aca="true" t="shared" si="13" ref="BF25:BF36">SUM((BO25+0.25*BY25/G25)/($BP$25+0.25*($BY$37/$G$37)*(BQ25/$BR$25)))</f>
        <v>1.0000000000000002</v>
      </c>
      <c r="BG25" s="45">
        <f>SUM((1+$BS$25*BX25/AL25)/(1+BS25*$BX$37/$AL$37))</f>
        <v>1</v>
      </c>
      <c r="BH25" s="45">
        <f aca="true" t="shared" si="14" ref="BH25:BH36">SUM((AY25+BA25)/($AZ$25+$BB$25))</f>
        <v>0.5052941176470588</v>
      </c>
      <c r="BI25" s="481">
        <v>0.8</v>
      </c>
      <c r="BJ25" s="481">
        <v>0.001</v>
      </c>
      <c r="BK25" s="481">
        <v>0.199</v>
      </c>
      <c r="BL25" s="481">
        <v>0.998</v>
      </c>
      <c r="BM25" s="481">
        <v>0.001</v>
      </c>
      <c r="BN25" s="481">
        <v>0.001</v>
      </c>
      <c r="BO25" s="110">
        <v>1.6</v>
      </c>
      <c r="BP25" s="484">
        <f>SUM((BO25*G25+BO26*G26+BO27*G27+BO28*G28+BO29*G29+BO30*G30+BO31*G31+BO32*G32+BO33*G33+BO34*G34+BO35*G35+BO36*G36)/G37)</f>
        <v>1.5999999999999999</v>
      </c>
      <c r="BQ25" s="56">
        <v>1</v>
      </c>
      <c r="BR25" s="484">
        <f>SUM((BQ25+BQ26+BQ27+BQ28+BQ29+BQ30+BQ31+BQ32+BQ33+BQ34+BQ35+BQ36)/12)</f>
        <v>1</v>
      </c>
      <c r="BS25" s="490"/>
      <c r="BT25" s="58">
        <f>SUM(0.2*$G$37/12/G25+0.8)</f>
        <v>0.9407678244972578</v>
      </c>
      <c r="BU25" s="58">
        <f aca="true" t="shared" si="15" ref="BU25:BU36">SUM((1+BZ25/G25)/(1+$BZ$37/$G$37))</f>
        <v>1</v>
      </c>
      <c r="BV25" s="58">
        <f aca="true" t="shared" si="16" ref="BV25:BV36">SUM((CE25/AL25)/($CE$37/$AL$37))</f>
        <v>0.8138825665810271</v>
      </c>
      <c r="BW25" s="111"/>
      <c r="BX25" s="98">
        <v>0</v>
      </c>
      <c r="BY25" s="43">
        <f>SUM(CA25*(1-($CA$37+$BZ$37+$CB$25-$CC$25)/$CA$37))</f>
        <v>1613.2948051948053</v>
      </c>
      <c r="BZ25" s="98">
        <v>0</v>
      </c>
      <c r="CA25" s="98">
        <f>SUM(ДАННЫЕ!B11)</f>
        <v>1641</v>
      </c>
      <c r="CB25" s="475">
        <v>0</v>
      </c>
      <c r="CC25" s="487">
        <v>13626</v>
      </c>
      <c r="CD25" s="98">
        <v>0</v>
      </c>
      <c r="CE25" s="113">
        <f>SUM(ДАННЫЕ!C11)</f>
        <v>649</v>
      </c>
      <c r="CF25" s="152"/>
    </row>
    <row r="26" spans="1:84" ht="12.75">
      <c r="A26" s="5" t="s">
        <v>11</v>
      </c>
      <c r="B26" s="27">
        <f t="shared" si="0"/>
        <v>776239.6995880206</v>
      </c>
      <c r="C26" s="494"/>
      <c r="D26" s="29">
        <f t="shared" si="1"/>
        <v>0.08294474761084789</v>
      </c>
      <c r="E26" s="29">
        <f aca="true" t="shared" si="17" ref="E26:E36">SUM(BC26*BD26*$G$37/$BE$37)</f>
        <v>1.1594144102213517</v>
      </c>
      <c r="F26" s="68">
        <f>SUM(ДАННЫЕ!D12)</f>
        <v>1237600</v>
      </c>
      <c r="G26" s="43">
        <f aca="true" t="shared" si="18" ref="G26:G36">SUM(BZ26+BY26)</f>
        <v>591.8363636363637</v>
      </c>
      <c r="H26" s="497"/>
      <c r="I26" s="29">
        <f aca="true" t="shared" si="19" ref="I26:I36">((J26/$K$25)+(L26-J26)/$K$25*0.25*M26)</f>
        <v>0.09616733563219007</v>
      </c>
      <c r="J26" s="43">
        <f t="shared" si="2"/>
        <v>415.5093281314731</v>
      </c>
      <c r="K26" s="497"/>
      <c r="L26" s="85">
        <f aca="true" t="shared" si="20" ref="L26:L37">SUM(N26+O26+P26+Q26+(AU26/$AU$37*$AK$37/$CC$25))</f>
        <v>53.112694005932106</v>
      </c>
      <c r="M26" s="45">
        <f aca="true" t="shared" si="21" ref="M26:M36">SUM(AW26*AX26)</f>
        <v>0.8</v>
      </c>
      <c r="N26" s="83">
        <f t="shared" si="3"/>
        <v>36.20149445359139</v>
      </c>
      <c r="O26" s="83">
        <f t="shared" si="4"/>
        <v>0.19760826005479168</v>
      </c>
      <c r="P26" s="83">
        <f t="shared" si="5"/>
        <v>0</v>
      </c>
      <c r="Q26" s="45">
        <f t="shared" si="6"/>
        <v>16.713591292285926</v>
      </c>
      <c r="R26" s="43">
        <f t="shared" si="7"/>
        <v>609.4474482656552</v>
      </c>
      <c r="S26" s="37">
        <f t="shared" si="8"/>
        <v>0</v>
      </c>
      <c r="T26" s="37">
        <f t="shared" si="9"/>
        <v>0.8123867162299161</v>
      </c>
      <c r="U26" s="44">
        <f t="shared" si="10"/>
        <v>43.22579951460784</v>
      </c>
      <c r="V26" s="44">
        <f t="shared" si="11"/>
        <v>0</v>
      </c>
      <c r="W26" s="98">
        <f>SUM(ДАННЫЕ!V12)</f>
        <v>340835.014285714</v>
      </c>
      <c r="X26" s="98">
        <f>SUM(ДАННЫЕ!X12)</f>
        <v>373931.926491201</v>
      </c>
      <c r="Y26" s="98">
        <f>SUM(ДАННЫЕ!J12)</f>
        <v>0</v>
      </c>
      <c r="Z26" s="98">
        <f>SUM(ДАННЫЕ!K12)</f>
        <v>1202</v>
      </c>
      <c r="AA26" s="98">
        <f>SUM(ДАННЫЕ!L12)</f>
        <v>33694</v>
      </c>
      <c r="AB26" s="98">
        <f>SUM(ДАННЫЕ!W12)</f>
        <v>0</v>
      </c>
      <c r="AC26" s="98">
        <f>SUM(ДАННЫЕ!M12)</f>
        <v>0</v>
      </c>
      <c r="AD26" s="98">
        <f>SUM(ДАННЫЕ!Q12)</f>
        <v>0</v>
      </c>
      <c r="AE26" s="98">
        <f>SUM(ДАННЫЕ!R12)</f>
        <v>20175</v>
      </c>
      <c r="AF26" s="98">
        <f>SUM(ДАННЫЕ!Y12)</f>
        <v>0</v>
      </c>
      <c r="AG26" s="10">
        <f>SUM(ДАННЫЕ!E12)</f>
        <v>121100</v>
      </c>
      <c r="AH26" s="10">
        <f>SUM(ДАННЫЕ!F12)</f>
        <v>6000</v>
      </c>
      <c r="AI26" s="10">
        <f>SUM(ДАННЫЕ!G12)</f>
        <v>18000</v>
      </c>
      <c r="AJ26" s="10">
        <f>SUM(ДАННЫЕ!H12)</f>
        <v>199500</v>
      </c>
      <c r="AK26" s="10">
        <f>SUM(ДАННЫЕ!I12)</f>
        <v>0</v>
      </c>
      <c r="AL26" s="85">
        <f aca="true" t="shared" si="22" ref="AL26:AL36">SUM(BZ26+CA26)</f>
        <v>602</v>
      </c>
      <c r="AM26" s="100">
        <f aca="true" t="shared" si="23" ref="AM26:AM36">SUM(AN26/CA26)</f>
        <v>4.843853820598007</v>
      </c>
      <c r="AN26" s="100">
        <f>SUM(ДАННЫЕ!P12)</f>
        <v>2916</v>
      </c>
      <c r="AO26" s="100">
        <f aca="true" t="shared" si="24" ref="AO26:AO36">SUM(AP26/CA26)</f>
        <v>0</v>
      </c>
      <c r="AP26" s="100">
        <f>SUM(ДАННЫЕ!Q12)</f>
        <v>0</v>
      </c>
      <c r="AQ26" s="100">
        <f aca="true" t="shared" si="25" ref="AQ26:AQ36">SUM(AR26/CA26)</f>
        <v>33.51328903654485</v>
      </c>
      <c r="AR26" s="100">
        <f>SUM(ДАННЫЕ!R12)</f>
        <v>20175</v>
      </c>
      <c r="AS26" s="101">
        <f aca="true" t="shared" si="26" ref="AS26:AS36">SUM(AT26/CA26)</f>
        <v>0.4406297917946987</v>
      </c>
      <c r="AT26" s="102">
        <f>SUM(ДАННЫЕ!AB12)</f>
        <v>265.2591346604086</v>
      </c>
      <c r="AU26" s="102">
        <f aca="true" t="shared" si="27" ref="AU26:AU36">SUM(AV26/CA26)</f>
        <v>0</v>
      </c>
      <c r="AV26" s="102">
        <f>SUM(ДАННЫЕ!AC12)</f>
        <v>0</v>
      </c>
      <c r="AW26" s="89">
        <v>0.8</v>
      </c>
      <c r="AX26" s="163">
        <v>1</v>
      </c>
      <c r="AY26" s="104">
        <f>SUM(ДАННЫЕ!AF12)</f>
        <v>46.52</v>
      </c>
      <c r="AZ26" s="500"/>
      <c r="BA26" s="105">
        <f>SUM(ДАННЫЕ!AG12)</f>
        <v>0</v>
      </c>
      <c r="BB26" s="500"/>
      <c r="BC26" s="45">
        <f aca="true" t="shared" si="28" ref="BC26:BC36">SUM($BI$25*BF26+$BJ$25*BG26+$BK$25*BH26)</f>
        <v>0.8917596078431376</v>
      </c>
      <c r="BD26" s="45">
        <f aca="true" t="shared" si="29" ref="BD26:BD36">SUM($BL$25*BT26+$BM$25*BU26+$BN$25*BV26)</f>
        <v>1.1844113948308903</v>
      </c>
      <c r="BE26" s="43">
        <f t="shared" si="12"/>
        <v>625.103628256699</v>
      </c>
      <c r="BF26" s="45">
        <f t="shared" si="13"/>
        <v>1.0000000000000002</v>
      </c>
      <c r="BG26" s="45">
        <f aca="true" t="shared" si="30" ref="BG26:BG36">SUM((1+$BS$25*BX26/AL26)/(1+BS26*$BX$37/$AL$37))</f>
        <v>1</v>
      </c>
      <c r="BH26" s="45">
        <f t="shared" si="14"/>
        <v>0.45607843137254905</v>
      </c>
      <c r="BI26" s="482"/>
      <c r="BJ26" s="482"/>
      <c r="BK26" s="482"/>
      <c r="BL26" s="482"/>
      <c r="BM26" s="482"/>
      <c r="BN26" s="482"/>
      <c r="BO26" s="110">
        <v>1.6</v>
      </c>
      <c r="BP26" s="485"/>
      <c r="BQ26" s="56">
        <v>1</v>
      </c>
      <c r="BR26" s="485"/>
      <c r="BS26" s="491"/>
      <c r="BT26" s="58">
        <f aca="true" t="shared" si="31" ref="BT26:BT36">SUM(0.2*$G$37/12/G26+0.8)</f>
        <v>1.1837209302325582</v>
      </c>
      <c r="BU26" s="58">
        <f t="shared" si="15"/>
        <v>1</v>
      </c>
      <c r="BV26" s="58">
        <f t="shared" si="16"/>
        <v>2.0579064587973273</v>
      </c>
      <c r="BW26" s="111"/>
      <c r="BX26" s="98">
        <v>0</v>
      </c>
      <c r="BY26" s="43">
        <f aca="true" t="shared" si="32" ref="BY26:BY36">SUM(CA26*(1-($CA$37+$BZ$37+$CB$25-$CC$25)/$CA$37))</f>
        <v>591.8363636363637</v>
      </c>
      <c r="BZ26" s="98">
        <v>0</v>
      </c>
      <c r="CA26" s="98">
        <f>SUM(ДАННЫЕ!B12)</f>
        <v>602</v>
      </c>
      <c r="CB26" s="476"/>
      <c r="CC26" s="488"/>
      <c r="CD26" s="98">
        <v>0</v>
      </c>
      <c r="CE26" s="113">
        <f>SUM(ДАННЫЕ!C12)</f>
        <v>602</v>
      </c>
      <c r="CF26" s="152"/>
    </row>
    <row r="27" spans="1:84" ht="12.75">
      <c r="A27" s="5" t="s">
        <v>12</v>
      </c>
      <c r="B27" s="27">
        <f t="shared" si="0"/>
        <v>512601.85524598137</v>
      </c>
      <c r="C27" s="494"/>
      <c r="D27" s="29">
        <f t="shared" si="1"/>
        <v>0.16717683704000744</v>
      </c>
      <c r="E27" s="29">
        <f t="shared" si="17"/>
        <v>1.5016667605370282</v>
      </c>
      <c r="F27" s="68">
        <f>SUM(ДАННЫЕ!D13)</f>
        <v>708600</v>
      </c>
      <c r="G27" s="43">
        <f t="shared" si="18"/>
        <v>308.69870129870134</v>
      </c>
      <c r="H27" s="497"/>
      <c r="I27" s="29">
        <f t="shared" si="19"/>
        <v>0.2510438993146946</v>
      </c>
      <c r="J27" s="43">
        <f t="shared" si="2"/>
        <v>1020.1047987566263</v>
      </c>
      <c r="K27" s="497"/>
      <c r="L27" s="85">
        <f t="shared" si="20"/>
        <v>396.9633041226753</v>
      </c>
      <c r="M27" s="45">
        <f t="shared" si="21"/>
        <v>0.8</v>
      </c>
      <c r="N27" s="83">
        <f t="shared" si="3"/>
        <v>395.5402183154742</v>
      </c>
      <c r="O27" s="83">
        <f t="shared" si="4"/>
        <v>0</v>
      </c>
      <c r="P27" s="83">
        <f t="shared" si="5"/>
        <v>0</v>
      </c>
      <c r="Q27" s="45">
        <f t="shared" si="6"/>
        <v>1.4230858072011128</v>
      </c>
      <c r="R27" s="43">
        <f t="shared" si="7"/>
        <v>2706.9815361844726</v>
      </c>
      <c r="S27" s="37">
        <f t="shared" si="8"/>
        <v>0</v>
      </c>
      <c r="T27" s="37">
        <f t="shared" si="9"/>
        <v>0</v>
      </c>
      <c r="U27" s="44">
        <f t="shared" si="10"/>
        <v>16.641469427592998</v>
      </c>
      <c r="V27" s="44">
        <f t="shared" si="11"/>
        <v>0</v>
      </c>
      <c r="W27" s="98">
        <f>SUM(ДАННЫЕ!V13)</f>
        <v>793683</v>
      </c>
      <c r="X27" s="98">
        <f>SUM(ДАННЫЕ!X13)</f>
        <v>863614.141099517</v>
      </c>
      <c r="Y27" s="98">
        <f>SUM(ДАННЫЕ!J13)</f>
        <v>0</v>
      </c>
      <c r="Z27" s="98">
        <f>SUM(ДАННЫЕ!K13)</f>
        <v>0</v>
      </c>
      <c r="AA27" s="98">
        <f>SUM(ДАННЫЕ!L13)</f>
        <v>11499</v>
      </c>
      <c r="AB27" s="98">
        <f>SUM(ДАННЫЕ!W13)</f>
        <v>0</v>
      </c>
      <c r="AC27" s="98">
        <f>SUM(ДАННЫЕ!M13)</f>
        <v>0</v>
      </c>
      <c r="AD27" s="98">
        <f>SUM(ДАННЫЕ!Q13)</f>
        <v>0</v>
      </c>
      <c r="AE27" s="98">
        <f>SUM(ДАННЫЕ!R13)</f>
        <v>896</v>
      </c>
      <c r="AF27" s="98">
        <f>SUM(ДАННЫЕ!Y13)</f>
        <v>0</v>
      </c>
      <c r="AG27" s="10">
        <f>SUM(ДАННЫЕ!E13)</f>
        <v>302500</v>
      </c>
      <c r="AH27" s="10">
        <f>SUM(ДАННЫЕ!F13)</f>
        <v>0</v>
      </c>
      <c r="AI27" s="10">
        <f>SUM(ДАННЫЕ!G13)</f>
        <v>2100</v>
      </c>
      <c r="AJ27" s="10">
        <f>SUM(ДАННЫЕ!H13)</f>
        <v>16500</v>
      </c>
      <c r="AK27" s="10">
        <f>SUM(ДАННЫЕ!I13)</f>
        <v>0</v>
      </c>
      <c r="AL27" s="85">
        <f t="shared" si="22"/>
        <v>314</v>
      </c>
      <c r="AM27" s="100">
        <f t="shared" si="23"/>
        <v>0</v>
      </c>
      <c r="AN27" s="100">
        <f>SUM(ДАННЫЕ!P13)</f>
        <v>0</v>
      </c>
      <c r="AO27" s="100">
        <f t="shared" si="24"/>
        <v>0</v>
      </c>
      <c r="AP27" s="100">
        <f>SUM(ДАННЫЕ!Q13)</f>
        <v>0</v>
      </c>
      <c r="AQ27" s="100">
        <f t="shared" si="25"/>
        <v>2.8535031847133756</v>
      </c>
      <c r="AR27" s="100">
        <f>SUM(ДАННЫЕ!R13)</f>
        <v>896</v>
      </c>
      <c r="AS27" s="101">
        <f t="shared" si="26"/>
        <v>4.814353845701164</v>
      </c>
      <c r="AT27" s="102">
        <f>SUM(ДАННЫЕ!AB13)</f>
        <v>1511.7071075501656</v>
      </c>
      <c r="AU27" s="102">
        <f t="shared" si="27"/>
        <v>0</v>
      </c>
      <c r="AV27" s="102">
        <f>SUM(ДАННЫЕ!AC13)</f>
        <v>0</v>
      </c>
      <c r="AW27" s="89">
        <v>0.8</v>
      </c>
      <c r="AX27" s="163">
        <v>1</v>
      </c>
      <c r="AY27" s="104">
        <f>SUM(ДАННЫЕ!AF13)</f>
        <v>46.04</v>
      </c>
      <c r="AZ27" s="500"/>
      <c r="BA27" s="105">
        <f>SUM(ДАННЫЕ!AG13)</f>
        <v>0</v>
      </c>
      <c r="BB27" s="500"/>
      <c r="BC27" s="45">
        <f t="shared" si="28"/>
        <v>0.8908231372549023</v>
      </c>
      <c r="BD27" s="45">
        <f t="shared" si="29"/>
        <v>1.5356553586880966</v>
      </c>
      <c r="BE27" s="43">
        <f t="shared" si="12"/>
        <v>422.2989974127568</v>
      </c>
      <c r="BF27" s="45">
        <f t="shared" si="13"/>
        <v>1.0000000000000002</v>
      </c>
      <c r="BG27" s="45">
        <f t="shared" si="30"/>
        <v>1</v>
      </c>
      <c r="BH27" s="45">
        <f t="shared" si="14"/>
        <v>0.4513725490196078</v>
      </c>
      <c r="BI27" s="482"/>
      <c r="BJ27" s="482"/>
      <c r="BK27" s="482"/>
      <c r="BL27" s="482"/>
      <c r="BM27" s="482"/>
      <c r="BN27" s="482"/>
      <c r="BO27" s="110">
        <v>1.6</v>
      </c>
      <c r="BP27" s="485"/>
      <c r="BQ27" s="56">
        <v>1</v>
      </c>
      <c r="BR27" s="485"/>
      <c r="BS27" s="491"/>
      <c r="BT27" s="58">
        <f t="shared" si="31"/>
        <v>1.5356687898089172</v>
      </c>
      <c r="BU27" s="58">
        <f t="shared" si="15"/>
        <v>1</v>
      </c>
      <c r="BV27" s="58">
        <f t="shared" si="16"/>
        <v>2.0579064587973273</v>
      </c>
      <c r="BW27" s="111"/>
      <c r="BX27" s="98">
        <v>0</v>
      </c>
      <c r="BY27" s="43">
        <f t="shared" si="32"/>
        <v>308.69870129870134</v>
      </c>
      <c r="BZ27" s="98">
        <v>0</v>
      </c>
      <c r="CA27" s="98">
        <f>SUM(ДАННЫЕ!B13)</f>
        <v>314</v>
      </c>
      <c r="CB27" s="476"/>
      <c r="CC27" s="488"/>
      <c r="CD27" s="98">
        <v>0</v>
      </c>
      <c r="CE27" s="113">
        <f>SUM(ДАННЫЕ!C13)</f>
        <v>314</v>
      </c>
      <c r="CF27" s="152"/>
    </row>
    <row r="28" spans="1:84" ht="12.75">
      <c r="A28" s="5" t="s">
        <v>13</v>
      </c>
      <c r="B28" s="27">
        <f t="shared" si="0"/>
      </c>
      <c r="C28" s="494"/>
      <c r="D28" s="29">
        <f t="shared" si="1"/>
        <v>1.05979432088549</v>
      </c>
      <c r="E28" s="29">
        <f t="shared" si="17"/>
        <v>0.9599752108630603</v>
      </c>
      <c r="F28" s="68">
        <f>SUM(ДАННЫЕ!D14)</f>
        <v>169600</v>
      </c>
      <c r="G28" s="43">
        <f t="shared" si="18"/>
        <v>2887.414285714286</v>
      </c>
      <c r="H28" s="497"/>
      <c r="I28" s="29">
        <f t="shared" si="19"/>
        <v>1.0173762766635221</v>
      </c>
      <c r="J28" s="43">
        <f t="shared" si="2"/>
        <v>4430.815878011052</v>
      </c>
      <c r="K28" s="497"/>
      <c r="L28" s="85">
        <f t="shared" si="20"/>
        <v>421.70136707714</v>
      </c>
      <c r="M28" s="45">
        <f t="shared" si="21"/>
        <v>0.8</v>
      </c>
      <c r="N28" s="83">
        <f t="shared" si="3"/>
        <v>116.64690712822618</v>
      </c>
      <c r="O28" s="83">
        <f t="shared" si="4"/>
        <v>0.08764748899375835</v>
      </c>
      <c r="P28" s="83">
        <f t="shared" si="5"/>
        <v>18.405776480910895</v>
      </c>
      <c r="Q28" s="45">
        <f t="shared" si="6"/>
        <v>286.49201006450687</v>
      </c>
      <c r="R28" s="43">
        <f t="shared" si="7"/>
        <v>7321.343196836677</v>
      </c>
      <c r="S28" s="37">
        <f t="shared" si="8"/>
        <v>1.2480370474819287</v>
      </c>
      <c r="T28" s="37">
        <f t="shared" si="9"/>
        <v>3.015292970972546</v>
      </c>
      <c r="U28" s="44">
        <f t="shared" si="10"/>
        <v>438.6194964352683</v>
      </c>
      <c r="V28" s="44">
        <f t="shared" si="11"/>
        <v>0</v>
      </c>
      <c r="W28" s="98">
        <f>SUM(ДАННЫЕ!V14)</f>
        <v>21674713.9571429</v>
      </c>
      <c r="X28" s="98">
        <f>SUM(ДАННЫЕ!X14)</f>
        <v>20783108.9238436</v>
      </c>
      <c r="Y28" s="98">
        <f>SUM(ДАННЫЕ!J14)</f>
        <v>0</v>
      </c>
      <c r="Z28" s="98">
        <f>SUM(ДАННЫЕ!K14)</f>
        <v>28432</v>
      </c>
      <c r="AA28" s="98">
        <f>SUM(ДАННЫЕ!L14)</f>
        <v>635407</v>
      </c>
      <c r="AB28" s="98">
        <f>SUM(ДАННЫЕ!W14)</f>
        <v>0</v>
      </c>
      <c r="AC28" s="98">
        <f>SUM(ДАННЫЕ!M14)</f>
        <v>6006</v>
      </c>
      <c r="AD28" s="98">
        <f>SUM(ДАННЫЕ!Q14)</f>
        <v>-4444</v>
      </c>
      <c r="AE28" s="98">
        <f>SUM(ДАННЫЕ!R14)</f>
        <v>1687189</v>
      </c>
      <c r="AF28" s="98">
        <f>SUM(ДАННЫЕ!Y14)</f>
        <v>0</v>
      </c>
      <c r="AG28" s="10">
        <f>SUM(ДАННЫЕ!E14)</f>
        <v>7342500</v>
      </c>
      <c r="AH28" s="10">
        <f>SUM(ДАННЫЕ!F14)</f>
        <v>9000</v>
      </c>
      <c r="AI28" s="10">
        <f>SUM(ДАННЫЕ!G14)</f>
        <v>345000</v>
      </c>
      <c r="AJ28" s="10">
        <f>SUM(ДАННЫЕ!H14)</f>
        <v>5100000</v>
      </c>
      <c r="AK28" s="10">
        <f>SUM(ДАННЫЕ!I14)</f>
        <v>0</v>
      </c>
      <c r="AL28" s="85">
        <f t="shared" si="22"/>
        <v>2937</v>
      </c>
      <c r="AM28" s="100">
        <f t="shared" si="23"/>
        <v>2.1484508001361933</v>
      </c>
      <c r="AN28" s="100">
        <f>SUM(ДАННЫЕ!P14)</f>
        <v>6310</v>
      </c>
      <c r="AO28" s="100">
        <f t="shared" si="24"/>
        <v>-1.5131086142322097</v>
      </c>
      <c r="AP28" s="100">
        <f>SUM(ДАННЫЕ!Q14)</f>
        <v>-4444</v>
      </c>
      <c r="AQ28" s="100">
        <f t="shared" si="25"/>
        <v>574.4599931903302</v>
      </c>
      <c r="AR28" s="100">
        <f>SUM(ДАННЫЕ!R14)</f>
        <v>1687189</v>
      </c>
      <c r="AS28" s="101">
        <f t="shared" si="26"/>
        <v>1.4197784698445473</v>
      </c>
      <c r="AT28" s="102">
        <f>SUM(ДАННЫЕ!AB14)</f>
        <v>4169.889365933435</v>
      </c>
      <c r="AU28" s="102">
        <f t="shared" si="27"/>
        <v>0.0004949915692328798</v>
      </c>
      <c r="AV28" s="102">
        <f>SUM(ДАННЫЕ!AC14)</f>
        <v>1.453790238836968</v>
      </c>
      <c r="AW28" s="89">
        <v>0.8</v>
      </c>
      <c r="AX28" s="163">
        <v>1</v>
      </c>
      <c r="AY28" s="104">
        <f>SUM(ДАННЫЕ!AF14)</f>
        <v>98.86</v>
      </c>
      <c r="AZ28" s="500"/>
      <c r="BA28" s="105">
        <f>SUM(ДАННЫЕ!AG14)</f>
        <v>0.78</v>
      </c>
      <c r="BB28" s="500"/>
      <c r="BC28" s="45">
        <f t="shared" si="28"/>
        <v>0.9953956862745101</v>
      </c>
      <c r="BD28" s="45">
        <f t="shared" si="29"/>
        <v>0.8785691399114136</v>
      </c>
      <c r="BE28" s="43">
        <f t="shared" si="12"/>
        <v>2525.1128943453205</v>
      </c>
      <c r="BF28" s="45">
        <f t="shared" si="13"/>
        <v>1.0000000000000002</v>
      </c>
      <c r="BG28" s="45">
        <f t="shared" si="30"/>
        <v>1</v>
      </c>
      <c r="BH28" s="45">
        <f t="shared" si="14"/>
        <v>0.9768627450980393</v>
      </c>
      <c r="BI28" s="482"/>
      <c r="BJ28" s="482"/>
      <c r="BK28" s="482"/>
      <c r="BL28" s="482"/>
      <c r="BM28" s="482"/>
      <c r="BN28" s="482"/>
      <c r="BO28" s="110">
        <v>1.6</v>
      </c>
      <c r="BP28" s="485"/>
      <c r="BQ28" s="56">
        <v>1</v>
      </c>
      <c r="BR28" s="485"/>
      <c r="BS28" s="491"/>
      <c r="BT28" s="58">
        <f t="shared" si="31"/>
        <v>0.8786516853932584</v>
      </c>
      <c r="BU28" s="58">
        <f t="shared" si="15"/>
        <v>1</v>
      </c>
      <c r="BV28" s="58">
        <f t="shared" si="16"/>
        <v>0.6747578889417181</v>
      </c>
      <c r="BW28" s="111"/>
      <c r="BX28" s="98">
        <v>0</v>
      </c>
      <c r="BY28" s="43">
        <f t="shared" si="32"/>
        <v>2887.414285714286</v>
      </c>
      <c r="BZ28" s="98">
        <v>0</v>
      </c>
      <c r="CA28" s="98">
        <f>SUM(ДАННЫЕ!B14)</f>
        <v>2937</v>
      </c>
      <c r="CB28" s="476"/>
      <c r="CC28" s="488"/>
      <c r="CD28" s="98">
        <v>0</v>
      </c>
      <c r="CE28" s="113">
        <f>SUM(ДАННЫЕ!C14)</f>
        <v>963</v>
      </c>
      <c r="CF28" s="152"/>
    </row>
    <row r="29" spans="1:84" ht="12.75">
      <c r="A29" s="5" t="s">
        <v>14</v>
      </c>
      <c r="B29" s="27">
        <f t="shared" si="0"/>
        <v>330468.6147978101</v>
      </c>
      <c r="C29" s="494"/>
      <c r="D29" s="29">
        <f t="shared" si="1"/>
        <v>0.264859823806348</v>
      </c>
      <c r="E29" s="29">
        <f t="shared" si="17"/>
        <v>1.0660294600920401</v>
      </c>
      <c r="F29" s="68">
        <f>SUM(ДАННЫЕ!D15)</f>
        <v>1658000</v>
      </c>
      <c r="G29" s="43">
        <f t="shared" si="18"/>
        <v>815.987012987013</v>
      </c>
      <c r="H29" s="497"/>
      <c r="I29" s="29">
        <f t="shared" si="19"/>
        <v>0.28234837497235404</v>
      </c>
      <c r="J29" s="43">
        <f t="shared" si="2"/>
        <v>1219.0981951161232</v>
      </c>
      <c r="K29" s="497"/>
      <c r="L29" s="85">
        <f t="shared" si="20"/>
        <v>159.30685699103066</v>
      </c>
      <c r="M29" s="45">
        <f t="shared" si="21"/>
        <v>0.8</v>
      </c>
      <c r="N29" s="83">
        <f t="shared" si="3"/>
        <v>179.08781414346984</v>
      </c>
      <c r="O29" s="83">
        <f t="shared" si="4"/>
        <v>0.004423626824073501</v>
      </c>
      <c r="P29" s="83">
        <f t="shared" si="5"/>
        <v>2.1983518670538036</v>
      </c>
      <c r="Q29" s="45">
        <f t="shared" si="6"/>
        <v>-21.983732646317065</v>
      </c>
      <c r="R29" s="43">
        <f t="shared" si="7"/>
        <v>2856.2138382208486</v>
      </c>
      <c r="S29" s="37">
        <f t="shared" si="8"/>
        <v>0.7416784708185449</v>
      </c>
      <c r="T29" s="37">
        <f t="shared" si="9"/>
        <v>1.287765593417262</v>
      </c>
      <c r="U29" s="44">
        <f t="shared" si="10"/>
        <v>41.26903916856329</v>
      </c>
      <c r="V29" s="44">
        <f t="shared" si="11"/>
        <v>11.61783196192962</v>
      </c>
      <c r="W29" s="98">
        <f>SUM(ДАННЫЕ!V15)</f>
        <v>2054215.67142857</v>
      </c>
      <c r="X29" s="98">
        <f>SUM(ДАННЫЕ!X15)</f>
        <v>2514911.88288429</v>
      </c>
      <c r="Y29" s="98">
        <f>SUM(ДАННЫЕ!J15)</f>
        <v>1336</v>
      </c>
      <c r="Z29" s="98">
        <f>SUM(ДАННЫЕ!K15)</f>
        <v>2852</v>
      </c>
      <c r="AA29" s="98">
        <f>SUM(ДАННЫЕ!L15)</f>
        <v>139068</v>
      </c>
      <c r="AB29" s="98">
        <f>SUM(ДАННЫЕ!W15)</f>
        <v>0</v>
      </c>
      <c r="AC29" s="98">
        <f>SUM(ДАННЫЕ!M15)</f>
        <v>118</v>
      </c>
      <c r="AD29" s="98">
        <f>SUM(ДАННЫЕ!Q15)</f>
        <v>-150</v>
      </c>
      <c r="AE29" s="98">
        <f>SUM(ДАННЫЕ!R15)</f>
        <v>-36587</v>
      </c>
      <c r="AF29" s="98">
        <f>SUM(ДАННЫЕ!Y15)</f>
        <v>15800</v>
      </c>
      <c r="AG29" s="10">
        <f>SUM(ДАННЫЕ!E15)</f>
        <v>977100</v>
      </c>
      <c r="AH29" s="10">
        <f>SUM(ДАННЫЕ!F15)</f>
        <v>300</v>
      </c>
      <c r="AI29" s="10">
        <f>SUM(ДАННЫЕ!G15)</f>
        <v>75000</v>
      </c>
      <c r="AJ29" s="10">
        <f>SUM(ДАННЫЕ!H15)</f>
        <v>273000</v>
      </c>
      <c r="AK29" s="10">
        <f>SUM(ДАННЫЕ!I15)</f>
        <v>15000</v>
      </c>
      <c r="AL29" s="85">
        <f t="shared" si="22"/>
        <v>830</v>
      </c>
      <c r="AM29" s="100">
        <f t="shared" si="23"/>
        <v>0.10843373493975904</v>
      </c>
      <c r="AN29" s="100">
        <f>SUM(ДАННЫЕ!P15)</f>
        <v>90</v>
      </c>
      <c r="AO29" s="100">
        <f t="shared" si="24"/>
        <v>-0.18072289156626506</v>
      </c>
      <c r="AP29" s="100">
        <f>SUM(ДАННЫЕ!Q15)</f>
        <v>-150</v>
      </c>
      <c r="AQ29" s="100">
        <f t="shared" si="25"/>
        <v>-44.08072289156627</v>
      </c>
      <c r="AR29" s="100">
        <f>SUM(ДАННЫЕ!R15)</f>
        <v>-36587</v>
      </c>
      <c r="AS29" s="101">
        <f t="shared" si="26"/>
        <v>2.1797836650132094</v>
      </c>
      <c r="AT29" s="102">
        <f>SUM(ДАННЫЕ!AB15)</f>
        <v>1809.2204419609639</v>
      </c>
      <c r="AU29" s="102">
        <f t="shared" si="27"/>
        <v>0</v>
      </c>
      <c r="AV29" s="102">
        <f>SUM(ДАННЫЕ!AC15)</f>
        <v>0</v>
      </c>
      <c r="AW29" s="89">
        <v>0.8</v>
      </c>
      <c r="AX29" s="163">
        <v>1</v>
      </c>
      <c r="AY29" s="104">
        <f>SUM(ДАННЫЕ!AF15)</f>
        <v>50.4</v>
      </c>
      <c r="AZ29" s="500"/>
      <c r="BA29" s="105">
        <f>SUM(ДАННЫЕ!AG15)</f>
        <v>0.27</v>
      </c>
      <c r="BB29" s="500"/>
      <c r="BC29" s="45">
        <f t="shared" si="28"/>
        <v>0.8998561764705885</v>
      </c>
      <c r="BD29" s="45">
        <f t="shared" si="29"/>
        <v>1.0792145329648215</v>
      </c>
      <c r="BE29" s="43">
        <f t="shared" si="12"/>
        <v>792.4358842117346</v>
      </c>
      <c r="BF29" s="45">
        <f t="shared" si="13"/>
        <v>1.0000000000000002</v>
      </c>
      <c r="BG29" s="45">
        <f t="shared" si="30"/>
        <v>1</v>
      </c>
      <c r="BH29" s="45">
        <f t="shared" si="14"/>
        <v>0.49676470588235294</v>
      </c>
      <c r="BI29" s="482"/>
      <c r="BJ29" s="482"/>
      <c r="BK29" s="482"/>
      <c r="BL29" s="482"/>
      <c r="BM29" s="482"/>
      <c r="BN29" s="482"/>
      <c r="BO29" s="110">
        <v>1.6</v>
      </c>
      <c r="BP29" s="485"/>
      <c r="BQ29" s="56">
        <v>1</v>
      </c>
      <c r="BR29" s="485"/>
      <c r="BS29" s="491"/>
      <c r="BT29" s="58">
        <f t="shared" si="31"/>
        <v>1.0783132530120483</v>
      </c>
      <c r="BU29" s="58">
        <f t="shared" si="15"/>
        <v>1</v>
      </c>
      <c r="BV29" s="58">
        <f t="shared" si="16"/>
        <v>2.0579064587973273</v>
      </c>
      <c r="BW29" s="111"/>
      <c r="BX29" s="98">
        <v>0</v>
      </c>
      <c r="BY29" s="43">
        <f t="shared" si="32"/>
        <v>815.987012987013</v>
      </c>
      <c r="BZ29" s="98">
        <v>0</v>
      </c>
      <c r="CA29" s="98">
        <f>SUM(ДАННЫЕ!B15)</f>
        <v>830</v>
      </c>
      <c r="CB29" s="476"/>
      <c r="CC29" s="488"/>
      <c r="CD29" s="98">
        <v>0</v>
      </c>
      <c r="CE29" s="113">
        <f>SUM(ДАННЫЕ!C15)</f>
        <v>830</v>
      </c>
      <c r="CF29" s="152"/>
    </row>
    <row r="30" spans="1:84" ht="12.75">
      <c r="A30" s="5" t="s">
        <v>15</v>
      </c>
      <c r="B30" s="27">
        <f t="shared" si="0"/>
        <v>498362.6798837939</v>
      </c>
      <c r="C30" s="494"/>
      <c r="D30" s="29">
        <f t="shared" si="1"/>
        <v>0.2915878909066699</v>
      </c>
      <c r="E30" s="29">
        <f t="shared" si="17"/>
        <v>1.2236750128464071</v>
      </c>
      <c r="F30" s="68">
        <f>SUM(ДАННЫЕ!D16)</f>
        <v>856200</v>
      </c>
      <c r="G30" s="43">
        <f t="shared" si="18"/>
        <v>505.32207792207794</v>
      </c>
      <c r="H30" s="497"/>
      <c r="I30" s="29">
        <f t="shared" si="19"/>
        <v>0.35680881615107607</v>
      </c>
      <c r="J30" s="43">
        <f t="shared" si="2"/>
        <v>1496.4998589461638</v>
      </c>
      <c r="K30" s="497"/>
      <c r="L30" s="85">
        <f t="shared" si="20"/>
        <v>377.7064871158716</v>
      </c>
      <c r="M30" s="45">
        <f t="shared" si="21"/>
        <v>0.8</v>
      </c>
      <c r="N30" s="83">
        <f t="shared" si="3"/>
        <v>366.91894144041885</v>
      </c>
      <c r="O30" s="83">
        <f t="shared" si="4"/>
        <v>0.9398084119282123</v>
      </c>
      <c r="P30" s="83">
        <f t="shared" si="5"/>
        <v>6.508090968288335</v>
      </c>
      <c r="Q30" s="45">
        <f t="shared" si="6"/>
        <v>3.3396462952362347</v>
      </c>
      <c r="R30" s="43">
        <f t="shared" si="7"/>
        <v>3942.5065182590306</v>
      </c>
      <c r="S30" s="37">
        <f t="shared" si="8"/>
        <v>16.720820975692497</v>
      </c>
      <c r="T30" s="37">
        <f t="shared" si="9"/>
        <v>0.28852885391341</v>
      </c>
      <c r="U30" s="44">
        <f t="shared" si="10"/>
        <v>15.365249885632926</v>
      </c>
      <c r="V30" s="44">
        <f t="shared" si="11"/>
        <v>26.75521333956998</v>
      </c>
      <c r="W30" s="98">
        <f>SUM(ДАННЫЕ!V16)</f>
        <v>1551471.85714286</v>
      </c>
      <c r="X30" s="98">
        <f>SUM(ДАННЫЕ!X16)</f>
        <v>2286078.07195141</v>
      </c>
      <c r="Y30" s="98">
        <f>SUM(ДАННЫЕ!J16)</f>
        <v>8516</v>
      </c>
      <c r="Z30" s="98">
        <f>SUM(ДАННЫЕ!K16)</f>
        <v>777</v>
      </c>
      <c r="AA30" s="98">
        <f>SUM(ДАННЫЕ!L16)</f>
        <v>14248</v>
      </c>
      <c r="AB30" s="98">
        <f>SUM(ДАННЫЕ!W16)</f>
        <v>15800</v>
      </c>
      <c r="AC30" s="98">
        <f>SUM(ДАННЫЕ!M16)</f>
        <v>8405</v>
      </c>
      <c r="AD30" s="98">
        <f>SUM(ДАННЫЕ!Q16)</f>
        <v>-275</v>
      </c>
      <c r="AE30" s="98">
        <f>SUM(ДАННЫЕ!R16)</f>
        <v>3442</v>
      </c>
      <c r="AF30" s="98">
        <f>SUM(ДАННЫЕ!Y16)</f>
        <v>12000</v>
      </c>
      <c r="AG30" s="10">
        <f>SUM(ДАННЫЕ!E16)</f>
        <v>895800</v>
      </c>
      <c r="AH30" s="10">
        <f>SUM(ДАННЫЕ!F16)</f>
        <v>9600</v>
      </c>
      <c r="AI30" s="10">
        <f>SUM(ДАННЫЕ!G16)</f>
        <v>24000</v>
      </c>
      <c r="AJ30" s="10">
        <f>SUM(ДАННЫЕ!H16)</f>
        <v>40500</v>
      </c>
      <c r="AK30" s="10">
        <f>SUM(ДАННЫЕ!I16)</f>
        <v>12000</v>
      </c>
      <c r="AL30" s="85">
        <f t="shared" si="22"/>
        <v>514</v>
      </c>
      <c r="AM30" s="100">
        <f t="shared" si="23"/>
        <v>23.03696498054475</v>
      </c>
      <c r="AN30" s="100">
        <f>SUM(ДАННЫЕ!P16)</f>
        <v>11841</v>
      </c>
      <c r="AO30" s="100">
        <f t="shared" si="24"/>
        <v>-0.5350194552529183</v>
      </c>
      <c r="AP30" s="100">
        <f>SUM(ДАННЫЕ!Q16)</f>
        <v>-275</v>
      </c>
      <c r="AQ30" s="100">
        <f t="shared" si="25"/>
        <v>6.696498054474708</v>
      </c>
      <c r="AR30" s="100">
        <f>SUM(ДАННЫЕ!R16)</f>
        <v>3442</v>
      </c>
      <c r="AS30" s="101">
        <f t="shared" si="26"/>
        <v>4.465987363579237</v>
      </c>
      <c r="AT30" s="102">
        <f>SUM(ДАННЫЕ!AB16)</f>
        <v>2295.5175048797278</v>
      </c>
      <c r="AU30" s="102">
        <f t="shared" si="27"/>
        <v>0</v>
      </c>
      <c r="AV30" s="102">
        <f>SUM(ДАННЫЕ!AC16)</f>
        <v>0</v>
      </c>
      <c r="AW30" s="89">
        <v>0.8</v>
      </c>
      <c r="AX30" s="163">
        <v>1</v>
      </c>
      <c r="AY30" s="104">
        <f>SUM(ДАННЫЕ!AF16)</f>
        <v>46.55</v>
      </c>
      <c r="AZ30" s="500"/>
      <c r="BA30" s="105">
        <f>SUM(ДАННЫЕ!AG16)</f>
        <v>0</v>
      </c>
      <c r="BB30" s="500"/>
      <c r="BC30" s="45">
        <f t="shared" si="28"/>
        <v>0.8918181372549022</v>
      </c>
      <c r="BD30" s="45">
        <f t="shared" si="29"/>
        <v>1.2499754161864236</v>
      </c>
      <c r="BE30" s="43">
        <f t="shared" si="12"/>
        <v>563.3081639796059</v>
      </c>
      <c r="BF30" s="45">
        <f t="shared" si="13"/>
        <v>1.0000000000000002</v>
      </c>
      <c r="BG30" s="45">
        <f t="shared" si="30"/>
        <v>1</v>
      </c>
      <c r="BH30" s="45">
        <f t="shared" si="14"/>
        <v>0.45637254901960783</v>
      </c>
      <c r="BI30" s="482"/>
      <c r="BJ30" s="482"/>
      <c r="BK30" s="482"/>
      <c r="BL30" s="482"/>
      <c r="BM30" s="482"/>
      <c r="BN30" s="482"/>
      <c r="BO30" s="110">
        <v>1.6</v>
      </c>
      <c r="BP30" s="485"/>
      <c r="BQ30" s="56">
        <v>1</v>
      </c>
      <c r="BR30" s="485"/>
      <c r="BS30" s="491"/>
      <c r="BT30" s="58">
        <f t="shared" si="31"/>
        <v>1.2494163424124514</v>
      </c>
      <c r="BU30" s="58">
        <f t="shared" si="15"/>
        <v>1</v>
      </c>
      <c r="BV30" s="58">
        <f t="shared" si="16"/>
        <v>2.0579064587973273</v>
      </c>
      <c r="BW30" s="111"/>
      <c r="BX30" s="98">
        <v>0</v>
      </c>
      <c r="BY30" s="43">
        <f t="shared" si="32"/>
        <v>505.32207792207794</v>
      </c>
      <c r="BZ30" s="98">
        <v>0</v>
      </c>
      <c r="CA30" s="98">
        <f>SUM(ДАННЫЕ!B16)</f>
        <v>514</v>
      </c>
      <c r="CB30" s="476"/>
      <c r="CC30" s="488"/>
      <c r="CD30" s="98">
        <v>0</v>
      </c>
      <c r="CE30" s="113">
        <f>SUM(ДАННЫЕ!C16)</f>
        <v>514</v>
      </c>
      <c r="CF30" s="152"/>
    </row>
    <row r="31" spans="1:84" ht="12.75">
      <c r="A31" s="5" t="s">
        <v>16</v>
      </c>
      <c r="B31" s="27">
        <f t="shared" si="0"/>
        <v>406400.99937732716</v>
      </c>
      <c r="C31" s="494"/>
      <c r="D31" s="29">
        <f t="shared" si="1"/>
        <v>0.5444253590543771</v>
      </c>
      <c r="E31" s="29">
        <f t="shared" si="17"/>
        <v>1.0981808866642333</v>
      </c>
      <c r="F31" s="68">
        <f>SUM(ДАННЫЕ!D17)</f>
        <v>641300</v>
      </c>
      <c r="G31" s="43">
        <f t="shared" si="18"/>
        <v>740.287012987013</v>
      </c>
      <c r="H31" s="497"/>
      <c r="I31" s="29">
        <f t="shared" si="19"/>
        <v>0.5978775235288294</v>
      </c>
      <c r="J31" s="43">
        <f t="shared" si="2"/>
        <v>2581.089607942839</v>
      </c>
      <c r="K31" s="497"/>
      <c r="L31" s="85">
        <f t="shared" si="20"/>
        <v>338.8218637473486</v>
      </c>
      <c r="M31" s="45">
        <f t="shared" si="21"/>
        <v>0.8</v>
      </c>
      <c r="N31" s="83">
        <f t="shared" si="3"/>
        <v>213.01426748035976</v>
      </c>
      <c r="O31" s="83">
        <f t="shared" si="4"/>
        <v>0</v>
      </c>
      <c r="P31" s="83">
        <f t="shared" si="5"/>
        <v>4.1839725618464465</v>
      </c>
      <c r="Q31" s="45">
        <f t="shared" si="6"/>
        <v>121.62362370514236</v>
      </c>
      <c r="R31" s="43">
        <f t="shared" si="7"/>
        <v>4315.042186205619</v>
      </c>
      <c r="S31" s="37">
        <f t="shared" si="8"/>
        <v>0</v>
      </c>
      <c r="T31" s="37">
        <f t="shared" si="9"/>
        <v>2.6170930544664146</v>
      </c>
      <c r="U31" s="44">
        <f t="shared" si="10"/>
        <v>243.58525387661157</v>
      </c>
      <c r="V31" s="44">
        <f t="shared" si="11"/>
        <v>0</v>
      </c>
      <c r="W31" s="98">
        <f>SUM(ДАННЫЕ!V17)</f>
        <v>3131337.8</v>
      </c>
      <c r="X31" s="98">
        <f>SUM(ДАННЫЕ!X17)</f>
        <v>3236390.95156518</v>
      </c>
      <c r="Y31" s="98">
        <f>SUM(ДАННЫЕ!J17)</f>
        <v>0</v>
      </c>
      <c r="Z31" s="98">
        <f>SUM(ДАННЫЕ!K17)</f>
        <v>5232</v>
      </c>
      <c r="AA31" s="98">
        <f>SUM(ДАННЫЕ!L17)</f>
        <v>175352</v>
      </c>
      <c r="AB31" s="98">
        <f>SUM(ДАННЫЕ!W17)</f>
        <v>0</v>
      </c>
      <c r="AC31" s="98">
        <f>SUM(ДАННЫЕ!M17)</f>
        <v>0</v>
      </c>
      <c r="AD31" s="98">
        <f>SUM(ДАННЫЕ!Q17)</f>
        <v>-259</v>
      </c>
      <c r="AE31" s="98">
        <f>SUM(ДАННЫЕ!R17)</f>
        <v>183637</v>
      </c>
      <c r="AF31" s="98">
        <f>SUM(ДАННЫЕ!Y17)</f>
        <v>0</v>
      </c>
      <c r="AG31" s="10">
        <f>SUM(ДАННЫЕ!E17)</f>
        <v>1129900</v>
      </c>
      <c r="AH31" s="10">
        <f>SUM(ДАННЫЕ!F17)</f>
        <v>0</v>
      </c>
      <c r="AI31" s="10">
        <f>SUM(ДАННЫЕ!G17)</f>
        <v>90000</v>
      </c>
      <c r="AJ31" s="10">
        <f>SUM(ДАННЫЕ!H17)</f>
        <v>540000</v>
      </c>
      <c r="AK31" s="10">
        <f>SUM(ДАННЫЕ!I17)</f>
        <v>0</v>
      </c>
      <c r="AL31" s="85">
        <f t="shared" si="22"/>
        <v>753</v>
      </c>
      <c r="AM31" s="100">
        <f t="shared" si="23"/>
        <v>0</v>
      </c>
      <c r="AN31" s="100">
        <f>SUM(ДАННЫЕ!P17)</f>
        <v>0</v>
      </c>
      <c r="AO31" s="100">
        <f t="shared" si="24"/>
        <v>-0.34395750332005315</v>
      </c>
      <c r="AP31" s="100">
        <f>SUM(ДАННЫЕ!Q17)</f>
        <v>-259</v>
      </c>
      <c r="AQ31" s="100">
        <f t="shared" si="25"/>
        <v>243.8738379814077</v>
      </c>
      <c r="AR31" s="100">
        <f>SUM(ДАННЫЕ!R17)</f>
        <v>183637</v>
      </c>
      <c r="AS31" s="101">
        <f t="shared" si="26"/>
        <v>2.5927225863422803</v>
      </c>
      <c r="AT31" s="102">
        <f>SUM(ДАННЫЕ!AB17)</f>
        <v>1952.3201075157372</v>
      </c>
      <c r="AU31" s="102">
        <f t="shared" si="27"/>
        <v>0</v>
      </c>
      <c r="AV31" s="102">
        <f>SUM(ДАННЫЕ!AC17)</f>
        <v>0</v>
      </c>
      <c r="AW31" s="89">
        <v>0.8</v>
      </c>
      <c r="AX31" s="163">
        <v>1</v>
      </c>
      <c r="AY31" s="104">
        <f>SUM(ДАННЫЕ!AF17)</f>
        <v>53.13</v>
      </c>
      <c r="AZ31" s="500"/>
      <c r="BA31" s="105">
        <f>SUM(ДАННЫЕ!AG17)</f>
        <v>0</v>
      </c>
      <c r="BB31" s="500"/>
      <c r="BC31" s="45">
        <f t="shared" si="28"/>
        <v>0.9046555882352944</v>
      </c>
      <c r="BD31" s="45">
        <f t="shared" si="29"/>
        <v>1.105865452222291</v>
      </c>
      <c r="BE31" s="43">
        <f t="shared" si="12"/>
        <v>740.6033829252668</v>
      </c>
      <c r="BF31" s="45">
        <f t="shared" si="13"/>
        <v>1.0000000000000002</v>
      </c>
      <c r="BG31" s="45">
        <f t="shared" si="30"/>
        <v>1</v>
      </c>
      <c r="BH31" s="45">
        <f t="shared" si="14"/>
        <v>0.5208823529411765</v>
      </c>
      <c r="BI31" s="482"/>
      <c r="BJ31" s="482"/>
      <c r="BK31" s="482"/>
      <c r="BL31" s="482"/>
      <c r="BM31" s="482"/>
      <c r="BN31" s="482"/>
      <c r="BO31" s="110">
        <v>1.6</v>
      </c>
      <c r="BP31" s="485"/>
      <c r="BQ31" s="56">
        <v>1</v>
      </c>
      <c r="BR31" s="485"/>
      <c r="BS31" s="491"/>
      <c r="BT31" s="58">
        <f t="shared" si="31"/>
        <v>1.1067729083665339</v>
      </c>
      <c r="BU31" s="58">
        <f t="shared" si="15"/>
        <v>1</v>
      </c>
      <c r="BV31" s="58">
        <f t="shared" si="16"/>
        <v>0.30608967249043917</v>
      </c>
      <c r="BW31" s="111"/>
      <c r="BX31" s="98">
        <v>0</v>
      </c>
      <c r="BY31" s="43">
        <f t="shared" si="32"/>
        <v>740.287012987013</v>
      </c>
      <c r="BZ31" s="98">
        <v>0</v>
      </c>
      <c r="CA31" s="98">
        <f>SUM(ДАННЫЕ!B17)</f>
        <v>753</v>
      </c>
      <c r="CB31" s="476"/>
      <c r="CC31" s="488"/>
      <c r="CD31" s="98">
        <v>0</v>
      </c>
      <c r="CE31" s="113">
        <f>SUM(ДАННЫЕ!C17)</f>
        <v>112</v>
      </c>
      <c r="CF31" s="152"/>
    </row>
    <row r="32" spans="1:84" ht="12.75">
      <c r="A32" s="5" t="s">
        <v>18</v>
      </c>
      <c r="B32" s="27">
        <f t="shared" si="0"/>
      </c>
      <c r="C32" s="494"/>
      <c r="D32" s="29">
        <f t="shared" si="1"/>
        <v>1.292724913900776</v>
      </c>
      <c r="E32" s="29">
        <f t="shared" si="17"/>
        <v>0.9228131780587528</v>
      </c>
      <c r="F32" s="68">
        <f>SUM(ДАННЫЕ!D18)</f>
        <v>84000</v>
      </c>
      <c r="G32" s="43">
        <f t="shared" si="18"/>
        <v>1430.435064935065</v>
      </c>
      <c r="H32" s="497"/>
      <c r="I32" s="29">
        <f t="shared" si="19"/>
        <v>1.1929435861525026</v>
      </c>
      <c r="J32" s="43">
        <f t="shared" si="2"/>
        <v>5210.483740114978</v>
      </c>
      <c r="K32" s="497"/>
      <c r="L32" s="85">
        <f t="shared" si="20"/>
        <v>434.28306233285457</v>
      </c>
      <c r="M32" s="45">
        <f t="shared" si="21"/>
        <v>0.8</v>
      </c>
      <c r="N32" s="83">
        <f t="shared" si="3"/>
        <v>385.402429621198</v>
      </c>
      <c r="O32" s="83">
        <f t="shared" si="4"/>
        <v>0.4476588734228389</v>
      </c>
      <c r="P32" s="83">
        <f t="shared" si="5"/>
        <v>8.443887148459122</v>
      </c>
      <c r="Q32" s="45">
        <f t="shared" si="6"/>
        <v>39.98908668977462</v>
      </c>
      <c r="R32" s="43">
        <f t="shared" si="7"/>
        <v>13540.587596066334</v>
      </c>
      <c r="S32" s="37">
        <f t="shared" si="8"/>
        <v>17.746908351377975</v>
      </c>
      <c r="T32" s="37">
        <f t="shared" si="9"/>
        <v>2.909604288950324</v>
      </c>
      <c r="U32" s="44">
        <f t="shared" si="10"/>
        <v>74.89245938253279</v>
      </c>
      <c r="V32" s="44">
        <f t="shared" si="11"/>
        <v>0</v>
      </c>
      <c r="W32" s="98">
        <f>SUM(ДАННЫЕ!V18)</f>
        <v>15121992.0571429</v>
      </c>
      <c r="X32" s="98">
        <f>SUM(ДАННЫЕ!X18)</f>
        <v>22200224.1239682</v>
      </c>
      <c r="Y32" s="98">
        <f>SUM(ДАННЫЕ!J18)</f>
        <v>15097</v>
      </c>
      <c r="Z32" s="98">
        <f>SUM(ДАННЫЕ!K18)</f>
        <v>11920</v>
      </c>
      <c r="AA32" s="98">
        <f>SUM(ДАННЫЕ!L18)</f>
        <v>92820</v>
      </c>
      <c r="AB32" s="98">
        <f>SUM(ДАННЫЕ!W18)</f>
        <v>0</v>
      </c>
      <c r="AC32" s="98">
        <f>SUM(ДАННЫЕ!M18)</f>
        <v>32245</v>
      </c>
      <c r="AD32" s="98">
        <f>SUM(ДАННЫЕ!Q18)</f>
        <v>-1010</v>
      </c>
      <c r="AE32" s="98">
        <f>SUM(ДАННЫЕ!R18)</f>
        <v>116668</v>
      </c>
      <c r="AF32" s="98">
        <f>SUM(ДАННЫЕ!Y18)</f>
        <v>0</v>
      </c>
      <c r="AG32" s="10">
        <f>SUM(ДАННЫЕ!E18)</f>
        <v>7418100</v>
      </c>
      <c r="AH32" s="10">
        <f>SUM(ДАННЫЕ!F18)</f>
        <v>24600</v>
      </c>
      <c r="AI32" s="10">
        <f>SUM(ДАННЫЕ!G18)</f>
        <v>150000</v>
      </c>
      <c r="AJ32" s="10">
        <f>SUM(ДАННЫЕ!H18)</f>
        <v>390000</v>
      </c>
      <c r="AK32" s="10">
        <f>SUM(ДАННЫЕ!I18)</f>
        <v>0</v>
      </c>
      <c r="AL32" s="85">
        <f t="shared" si="22"/>
        <v>1455</v>
      </c>
      <c r="AM32" s="100">
        <f t="shared" si="23"/>
        <v>10.97319587628866</v>
      </c>
      <c r="AN32" s="100">
        <f>SUM(ДАННЫЕ!P18)</f>
        <v>15966</v>
      </c>
      <c r="AO32" s="100">
        <f t="shared" si="24"/>
        <v>-0.6941580756013745</v>
      </c>
      <c r="AP32" s="100">
        <f>SUM(ДАННЫЕ!Q18)</f>
        <v>-1010</v>
      </c>
      <c r="AQ32" s="100">
        <f t="shared" si="25"/>
        <v>80.18419243986254</v>
      </c>
      <c r="AR32" s="100">
        <f>SUM(ДАННЫЕ!R18)</f>
        <v>116668</v>
      </c>
      <c r="AS32" s="101">
        <f t="shared" si="26"/>
        <v>4.690960825909009</v>
      </c>
      <c r="AT32" s="102">
        <f>SUM(ДАННЫЕ!AB18)</f>
        <v>6825.348001697608</v>
      </c>
      <c r="AU32" s="102">
        <f t="shared" si="27"/>
        <v>0</v>
      </c>
      <c r="AV32" s="102">
        <f>SUM(ДАННЫЕ!AC18)</f>
        <v>0</v>
      </c>
      <c r="AW32" s="89">
        <v>0.8</v>
      </c>
      <c r="AX32" s="163">
        <v>1</v>
      </c>
      <c r="AY32" s="104">
        <f>SUM(ДАННЫЕ!AF18)</f>
        <v>39.15</v>
      </c>
      <c r="AZ32" s="500"/>
      <c r="BA32" s="105">
        <f>SUM(ДАННЫЕ!AG18)</f>
        <v>0.05</v>
      </c>
      <c r="BB32" s="500"/>
      <c r="BC32" s="45">
        <f t="shared" si="28"/>
        <v>0.8774784313725493</v>
      </c>
      <c r="BD32" s="45">
        <f t="shared" si="29"/>
        <v>0.9580518586549722</v>
      </c>
      <c r="BE32" s="43">
        <f t="shared" si="12"/>
        <v>1202.5236201820192</v>
      </c>
      <c r="BF32" s="45">
        <f t="shared" si="13"/>
        <v>1.0000000000000002</v>
      </c>
      <c r="BG32" s="45">
        <f t="shared" si="30"/>
        <v>1</v>
      </c>
      <c r="BH32" s="45">
        <f t="shared" si="14"/>
        <v>0.38431372549019605</v>
      </c>
      <c r="BI32" s="482"/>
      <c r="BJ32" s="482"/>
      <c r="BK32" s="482"/>
      <c r="BL32" s="482"/>
      <c r="BM32" s="482"/>
      <c r="BN32" s="482"/>
      <c r="BO32" s="110">
        <v>1.6</v>
      </c>
      <c r="BP32" s="485"/>
      <c r="BQ32" s="56">
        <v>1</v>
      </c>
      <c r="BR32" s="485"/>
      <c r="BS32" s="491"/>
      <c r="BT32" s="58">
        <f t="shared" si="31"/>
        <v>0.9587628865979383</v>
      </c>
      <c r="BU32" s="58">
        <f t="shared" si="15"/>
        <v>1</v>
      </c>
      <c r="BV32" s="58">
        <f t="shared" si="16"/>
        <v>0.20649783022983492</v>
      </c>
      <c r="BW32" s="111"/>
      <c r="BX32" s="98">
        <v>0</v>
      </c>
      <c r="BY32" s="43">
        <f t="shared" si="32"/>
        <v>1430.435064935065</v>
      </c>
      <c r="BZ32" s="98">
        <v>0</v>
      </c>
      <c r="CA32" s="98">
        <f>SUM(ДАННЫЕ!B18)</f>
        <v>1455</v>
      </c>
      <c r="CB32" s="476"/>
      <c r="CC32" s="488"/>
      <c r="CD32" s="98">
        <v>0</v>
      </c>
      <c r="CE32" s="113">
        <f>SUM(ДАННЫЕ!C18)</f>
        <v>146</v>
      </c>
      <c r="CF32" s="152"/>
    </row>
    <row r="33" spans="1:84" ht="12.75">
      <c r="A33" s="5" t="s">
        <v>17</v>
      </c>
      <c r="B33" s="27">
        <f t="shared" si="0"/>
      </c>
      <c r="C33" s="494"/>
      <c r="D33" s="29">
        <f t="shared" si="1"/>
        <v>2.1622803030877638</v>
      </c>
      <c r="E33" s="29">
        <f t="shared" si="17"/>
        <v>0.9198919543323913</v>
      </c>
      <c r="F33" s="68">
        <f>SUM(ДАННЫЕ!D19)</f>
        <v>103200</v>
      </c>
      <c r="G33" s="43">
        <f t="shared" si="18"/>
        <v>1755.8467532467532</v>
      </c>
      <c r="H33" s="497"/>
      <c r="I33" s="29">
        <f t="shared" si="19"/>
        <v>1.9890642538218384</v>
      </c>
      <c r="J33" s="43">
        <f t="shared" si="2"/>
        <v>8715.112511322535</v>
      </c>
      <c r="K33" s="497"/>
      <c r="L33" s="85">
        <f t="shared" si="20"/>
        <v>614.6262423885593</v>
      </c>
      <c r="M33" s="45">
        <f t="shared" si="21"/>
        <v>0.8</v>
      </c>
      <c r="N33" s="83">
        <f t="shared" si="3"/>
        <v>366.63187155564583</v>
      </c>
      <c r="O33" s="83">
        <f t="shared" si="4"/>
        <v>5.522399695667737</v>
      </c>
      <c r="P33" s="83">
        <f t="shared" si="5"/>
        <v>27.89732316306635</v>
      </c>
      <c r="Q33" s="45">
        <f t="shared" si="6"/>
        <v>214.57464797417936</v>
      </c>
      <c r="R33" s="43">
        <f t="shared" si="7"/>
        <v>19818.842314074933</v>
      </c>
      <c r="S33" s="37">
        <f t="shared" si="8"/>
        <v>0.6017609441406151</v>
      </c>
      <c r="T33" s="37">
        <f t="shared" si="9"/>
        <v>1.2463502272925633</v>
      </c>
      <c r="U33" s="44">
        <f t="shared" si="10"/>
        <v>424.6130242410884</v>
      </c>
      <c r="V33" s="44">
        <f t="shared" si="11"/>
        <v>0</v>
      </c>
      <c r="W33" s="98">
        <f>SUM(ДАННЫЕ!V19)</f>
        <v>30009518.6428571</v>
      </c>
      <c r="X33" s="98">
        <f>SUM(ДАННЫЕ!X19)</f>
        <v>37991737.455225</v>
      </c>
      <c r="Y33" s="98">
        <f>SUM(ДАННЫЕ!J19)</f>
        <v>0</v>
      </c>
      <c r="Z33" s="98">
        <f>SUM(ДАННЫЕ!K19)</f>
        <v>11615</v>
      </c>
      <c r="AA33" s="98">
        <f>SUM(ДАННЫЕ!L19)</f>
        <v>711236</v>
      </c>
      <c r="AB33" s="98">
        <f>SUM(ДАННЫЕ!W19)</f>
        <v>0</v>
      </c>
      <c r="AC33" s="98">
        <f>SUM(ДАННЫЕ!M19)</f>
        <v>1761</v>
      </c>
      <c r="AD33" s="98">
        <f>SUM(ДАННЫЕ!Q19)</f>
        <v>-4096</v>
      </c>
      <c r="AE33" s="98">
        <f>SUM(ДАННЫЕ!R19)</f>
        <v>768435</v>
      </c>
      <c r="AF33" s="98">
        <f>SUM(ДАННЫЕ!Y19)</f>
        <v>0</v>
      </c>
      <c r="AG33" s="10">
        <f>SUM(ДАННЫЕ!E19)</f>
        <v>11186600</v>
      </c>
      <c r="AH33" s="10">
        <f>SUM(ДАННЫЕ!F19)</f>
        <v>45000</v>
      </c>
      <c r="AI33" s="10">
        <f>SUM(ДАННЫЕ!G19)</f>
        <v>150000</v>
      </c>
      <c r="AJ33" s="10">
        <f>SUM(ДАННЫЕ!H19)</f>
        <v>3360000</v>
      </c>
      <c r="AK33" s="10">
        <f>SUM(ДАННЫЕ!I19)</f>
        <v>0</v>
      </c>
      <c r="AL33" s="85">
        <f t="shared" si="22"/>
        <v>1786</v>
      </c>
      <c r="AM33" s="100">
        <f t="shared" si="23"/>
        <v>135.3673012318029</v>
      </c>
      <c r="AN33" s="100">
        <f>SUM(ДАННЫЕ!P19)</f>
        <v>241766</v>
      </c>
      <c r="AO33" s="100">
        <f t="shared" si="24"/>
        <v>-2.2933930571108623</v>
      </c>
      <c r="AP33" s="100">
        <f>SUM(ДАННЫЕ!Q19)</f>
        <v>-4096</v>
      </c>
      <c r="AQ33" s="100">
        <f t="shared" si="25"/>
        <v>430.25475923852184</v>
      </c>
      <c r="AR33" s="100">
        <f>SUM(ДАННЫЕ!R19)</f>
        <v>768435</v>
      </c>
      <c r="AS33" s="101">
        <f t="shared" si="26"/>
        <v>4.46249326629217</v>
      </c>
      <c r="AT33" s="102">
        <f>SUM(ДАННЫЕ!AB19)</f>
        <v>7970.012973597816</v>
      </c>
      <c r="AU33" s="102">
        <f t="shared" si="27"/>
        <v>0</v>
      </c>
      <c r="AV33" s="102">
        <f>SUM(ДАННЫЕ!AC19)</f>
        <v>0</v>
      </c>
      <c r="AW33" s="89">
        <v>0.8</v>
      </c>
      <c r="AX33" s="163">
        <v>1</v>
      </c>
      <c r="AY33" s="104">
        <f>SUM(ДАННЫЕ!AF19)</f>
        <v>50.24</v>
      </c>
      <c r="AZ33" s="500"/>
      <c r="BA33" s="105">
        <f>SUM(ДАННЫЕ!AG19)</f>
        <v>1.23</v>
      </c>
      <c r="BB33" s="500"/>
      <c r="BC33" s="45">
        <f t="shared" si="28"/>
        <v>0.901416960784314</v>
      </c>
      <c r="BD33" s="45">
        <f t="shared" si="29"/>
        <v>0.9296570674660875</v>
      </c>
      <c r="BE33" s="43">
        <f t="shared" si="12"/>
        <v>1471.414764357555</v>
      </c>
      <c r="BF33" s="45">
        <f t="shared" si="13"/>
        <v>1.0000000000000002</v>
      </c>
      <c r="BG33" s="45">
        <f t="shared" si="30"/>
        <v>1</v>
      </c>
      <c r="BH33" s="45">
        <f t="shared" si="14"/>
        <v>0.5046078431372549</v>
      </c>
      <c r="BI33" s="482"/>
      <c r="BJ33" s="482"/>
      <c r="BK33" s="482"/>
      <c r="BL33" s="482"/>
      <c r="BM33" s="482"/>
      <c r="BN33" s="482"/>
      <c r="BO33" s="110">
        <v>1.6</v>
      </c>
      <c r="BP33" s="485"/>
      <c r="BQ33" s="56">
        <v>1</v>
      </c>
      <c r="BR33" s="485"/>
      <c r="BS33" s="491"/>
      <c r="BT33" s="58">
        <f t="shared" si="31"/>
        <v>0.9293393057110864</v>
      </c>
      <c r="BU33" s="58">
        <f t="shared" si="15"/>
        <v>1</v>
      </c>
      <c r="BV33" s="58">
        <f t="shared" si="16"/>
        <v>1.176440366423332</v>
      </c>
      <c r="BW33" s="111"/>
      <c r="BX33" s="98">
        <v>0</v>
      </c>
      <c r="BY33" s="43">
        <f t="shared" si="32"/>
        <v>1755.8467532467532</v>
      </c>
      <c r="BZ33" s="98">
        <v>0</v>
      </c>
      <c r="CA33" s="98">
        <f>SUM(ДАННЫЕ!B19)</f>
        <v>1786</v>
      </c>
      <c r="CB33" s="476"/>
      <c r="CC33" s="488"/>
      <c r="CD33" s="98">
        <v>0</v>
      </c>
      <c r="CE33" s="113">
        <f>SUM(ДАННЫЕ!C19)</f>
        <v>1021</v>
      </c>
      <c r="CF33" s="152"/>
    </row>
    <row r="34" spans="1:84" ht="12.75">
      <c r="A34" s="5" t="s">
        <v>19</v>
      </c>
      <c r="B34" s="27">
        <f t="shared" si="0"/>
        <v>500647.9680448156</v>
      </c>
      <c r="C34" s="494"/>
      <c r="D34" s="29">
        <f t="shared" si="1"/>
        <v>0.25890881375723873</v>
      </c>
      <c r="E34" s="29">
        <f t="shared" si="17"/>
        <v>1.213460741426646</v>
      </c>
      <c r="F34" s="68">
        <f>SUM(ДАННЫЕ!D20)</f>
        <v>988400</v>
      </c>
      <c r="G34" s="43">
        <f t="shared" si="18"/>
        <v>531.8662337662338</v>
      </c>
      <c r="H34" s="497"/>
      <c r="I34" s="29">
        <f t="shared" si="19"/>
        <v>0.3141756811037523</v>
      </c>
      <c r="J34" s="43">
        <f t="shared" si="2"/>
        <v>1332.0102510945294</v>
      </c>
      <c r="K34" s="497"/>
      <c r="L34" s="85">
        <f t="shared" si="20"/>
        <v>275.30048319522945</v>
      </c>
      <c r="M34" s="45">
        <f t="shared" si="21"/>
        <v>0.8</v>
      </c>
      <c r="N34" s="83">
        <f t="shared" si="3"/>
        <v>258.31100747301406</v>
      </c>
      <c r="O34" s="83">
        <f t="shared" si="4"/>
        <v>3.6299096996766016</v>
      </c>
      <c r="P34" s="83">
        <f t="shared" si="5"/>
        <v>0</v>
      </c>
      <c r="Q34" s="45">
        <f t="shared" si="6"/>
        <v>10.01486772544628</v>
      </c>
      <c r="R34" s="43">
        <f t="shared" si="7"/>
        <v>2584.9517527769553</v>
      </c>
      <c r="S34" s="37">
        <f t="shared" si="8"/>
        <v>48.79647992733257</v>
      </c>
      <c r="T34" s="37">
        <f t="shared" si="9"/>
        <v>6.455758576148187</v>
      </c>
      <c r="U34" s="44">
        <f t="shared" si="10"/>
        <v>22.230401648691082</v>
      </c>
      <c r="V34" s="44">
        <f t="shared" si="11"/>
        <v>15.981461992445126</v>
      </c>
      <c r="W34" s="98">
        <f>SUM(ДАННЫЕ!V20)</f>
        <v>1129261.65714286</v>
      </c>
      <c r="X34" s="98">
        <f>SUM(ДАННЫЕ!X20)</f>
        <v>1538573.1505996</v>
      </c>
      <c r="Y34" s="98">
        <f>SUM(ДАННЫЕ!J20)</f>
        <v>6680</v>
      </c>
      <c r="Z34" s="98">
        <f>SUM(ДАННЫЕ!K20)</f>
        <v>8584</v>
      </c>
      <c r="AA34" s="98">
        <f>SUM(ДАННЫЕ!L20)</f>
        <v>13263</v>
      </c>
      <c r="AB34" s="98">
        <f>SUM(ДАННЫЕ!W20)</f>
        <v>9820</v>
      </c>
      <c r="AC34" s="98">
        <f>SUM(ДАННЫЕ!M20)</f>
        <v>38802</v>
      </c>
      <c r="AD34" s="98">
        <f>SUM(ДАННЫЕ!Q20)</f>
        <v>0</v>
      </c>
      <c r="AE34" s="98">
        <f>SUM(ДАННЫЕ!R20)</f>
        <v>10864</v>
      </c>
      <c r="AF34" s="98">
        <f>SUM(ДАННЫЕ!Y20)</f>
        <v>7620</v>
      </c>
      <c r="AG34" s="10">
        <f>SUM(ДАННЫЕ!E20)</f>
        <v>589500</v>
      </c>
      <c r="AH34" s="10">
        <f>SUM(ДАННЫЕ!F20)</f>
        <v>45000</v>
      </c>
      <c r="AI34" s="10">
        <f>SUM(ДАННЫЕ!G20)</f>
        <v>60000</v>
      </c>
      <c r="AJ34" s="10">
        <f>SUM(ДАННЫЕ!H20)</f>
        <v>57300</v>
      </c>
      <c r="AK34" s="10">
        <f>SUM(ДАННЫЕ!I20)</f>
        <v>7000</v>
      </c>
      <c r="AL34" s="85">
        <f t="shared" si="22"/>
        <v>541</v>
      </c>
      <c r="AM34" s="100">
        <f t="shared" si="23"/>
        <v>88.97781885397413</v>
      </c>
      <c r="AN34" s="100">
        <f>SUM(ДАННЫЕ!P20)</f>
        <v>48137</v>
      </c>
      <c r="AO34" s="100">
        <f t="shared" si="24"/>
        <v>0</v>
      </c>
      <c r="AP34" s="100">
        <f>SUM(ДАННЫЕ!Q20)</f>
        <v>0</v>
      </c>
      <c r="AQ34" s="100">
        <f t="shared" si="25"/>
        <v>20.08133086876155</v>
      </c>
      <c r="AR34" s="100">
        <f>SUM(ДАННЫЕ!R20)</f>
        <v>10864</v>
      </c>
      <c r="AS34" s="101">
        <f t="shared" si="26"/>
        <v>3.144055988821796</v>
      </c>
      <c r="AT34" s="102">
        <f>SUM(ДАННЫЕ!AB20)</f>
        <v>1700.9342899525916</v>
      </c>
      <c r="AU34" s="102">
        <f t="shared" si="27"/>
        <v>0.023985157902289524</v>
      </c>
      <c r="AV34" s="102">
        <f>SUM(ДАННЫЕ!AC20)</f>
        <v>12.975970425138632</v>
      </c>
      <c r="AW34" s="89">
        <v>0.8</v>
      </c>
      <c r="AX34" s="163">
        <v>1</v>
      </c>
      <c r="AY34" s="104">
        <f>SUM(ДАННЫЕ!AF20)</f>
        <v>51</v>
      </c>
      <c r="AZ34" s="500"/>
      <c r="BA34" s="105">
        <f>SUM(ДАННЫЕ!AG20)</f>
        <v>0</v>
      </c>
      <c r="BB34" s="500"/>
      <c r="BC34" s="45">
        <f t="shared" si="28"/>
        <v>0.9005000000000003</v>
      </c>
      <c r="BD34" s="45">
        <f t="shared" si="29"/>
        <v>1.2275909933349527</v>
      </c>
      <c r="BE34" s="43">
        <f t="shared" si="12"/>
        <v>587.9492355064854</v>
      </c>
      <c r="BF34" s="45">
        <f t="shared" si="13"/>
        <v>1.0000000000000002</v>
      </c>
      <c r="BG34" s="45">
        <f t="shared" si="30"/>
        <v>1</v>
      </c>
      <c r="BH34" s="45">
        <f t="shared" si="14"/>
        <v>0.5</v>
      </c>
      <c r="BI34" s="482"/>
      <c r="BJ34" s="482"/>
      <c r="BK34" s="482"/>
      <c r="BL34" s="482"/>
      <c r="BM34" s="482"/>
      <c r="BN34" s="482"/>
      <c r="BO34" s="110">
        <v>1.6</v>
      </c>
      <c r="BP34" s="485"/>
      <c r="BQ34" s="56">
        <v>1</v>
      </c>
      <c r="BR34" s="485"/>
      <c r="BS34" s="491"/>
      <c r="BT34" s="58">
        <f t="shared" si="31"/>
        <v>1.2269870609981517</v>
      </c>
      <c r="BU34" s="58">
        <f t="shared" si="15"/>
        <v>1</v>
      </c>
      <c r="BV34" s="58">
        <f t="shared" si="16"/>
        <v>2.0579064587973273</v>
      </c>
      <c r="BW34" s="111"/>
      <c r="BX34" s="98">
        <v>0</v>
      </c>
      <c r="BY34" s="43">
        <f t="shared" si="32"/>
        <v>531.8662337662338</v>
      </c>
      <c r="BZ34" s="98">
        <v>0</v>
      </c>
      <c r="CA34" s="98">
        <f>SUM(ДАННЫЕ!B20)</f>
        <v>541</v>
      </c>
      <c r="CB34" s="476"/>
      <c r="CC34" s="488"/>
      <c r="CD34" s="98">
        <v>0</v>
      </c>
      <c r="CE34" s="113">
        <f>SUM(ДАННЫЕ!C20)</f>
        <v>541</v>
      </c>
      <c r="CF34" s="152"/>
    </row>
    <row r="35" spans="1:84" ht="12.75">
      <c r="A35" s="5" t="s">
        <v>20</v>
      </c>
      <c r="B35" s="27">
        <f t="shared" si="0"/>
        <v>1207504.1470875912</v>
      </c>
      <c r="C35" s="494"/>
      <c r="D35" s="29">
        <f t="shared" si="1"/>
        <v>0.4830542157973683</v>
      </c>
      <c r="E35" s="29">
        <f t="shared" si="17"/>
        <v>0.886129613710695</v>
      </c>
      <c r="F35" s="68">
        <f>SUM(ДАННЫЕ!D21)</f>
        <v>1133000</v>
      </c>
      <c r="G35" s="43">
        <f t="shared" si="18"/>
        <v>1751.9142857142858</v>
      </c>
      <c r="H35" s="497"/>
      <c r="I35" s="29">
        <f t="shared" si="19"/>
        <v>0.42804864564584466</v>
      </c>
      <c r="J35" s="43">
        <f t="shared" si="2"/>
        <v>1850.737730889994</v>
      </c>
      <c r="K35" s="497"/>
      <c r="L35" s="85">
        <f t="shared" si="20"/>
        <v>231.32148867956363</v>
      </c>
      <c r="M35" s="45">
        <f t="shared" si="21"/>
        <v>0.8</v>
      </c>
      <c r="N35" s="83">
        <f t="shared" si="3"/>
        <v>73.48722626495999</v>
      </c>
      <c r="O35" s="83">
        <f t="shared" si="4"/>
        <v>0.17891030186439436</v>
      </c>
      <c r="P35" s="83">
        <f t="shared" si="5"/>
        <v>9.61805670768205</v>
      </c>
      <c r="Q35" s="45">
        <f t="shared" si="6"/>
        <v>148.0372954050572</v>
      </c>
      <c r="R35" s="43">
        <f t="shared" si="7"/>
        <v>2674.612674300278</v>
      </c>
      <c r="S35" s="37">
        <f t="shared" si="8"/>
        <v>5.234502666470962</v>
      </c>
      <c r="T35" s="37">
        <f t="shared" si="9"/>
        <v>0.30104212534859837</v>
      </c>
      <c r="U35" s="44">
        <f t="shared" si="10"/>
        <v>223.6321737854102</v>
      </c>
      <c r="V35" s="44">
        <f t="shared" si="11"/>
        <v>0</v>
      </c>
      <c r="W35" s="98">
        <f>SUM(ДАННЫЕ!V21)</f>
        <v>4243565.48571429</v>
      </c>
      <c r="X35" s="98">
        <f>SUM(ДАННЫЕ!X21)</f>
        <v>4980443.26428905</v>
      </c>
      <c r="Y35" s="98">
        <f>SUM(ДАННЫЕ!J21)</f>
        <v>6228</v>
      </c>
      <c r="Z35" s="98">
        <f>SUM(ДАННЫЕ!K21)</f>
        <v>3432</v>
      </c>
      <c r="AA35" s="98">
        <f>SUM(ДАННЫЕ!L21)</f>
        <v>186015</v>
      </c>
      <c r="AB35" s="98">
        <f>SUM(ДАННЫЕ!W21)</f>
        <v>0</v>
      </c>
      <c r="AC35" s="98">
        <f>SUM(ДАННЫЕ!M21)</f>
        <v>11132</v>
      </c>
      <c r="AD35" s="98">
        <f>SUM(ДАННЫЕ!Q21)</f>
        <v>-1409</v>
      </c>
      <c r="AE35" s="98">
        <f>SUM(ДАННЫЕ!R21)</f>
        <v>528964</v>
      </c>
      <c r="AF35" s="98">
        <f>SUM(ДАННЫЕ!Y21)</f>
        <v>0</v>
      </c>
      <c r="AG35" s="10">
        <f>SUM(ДАННЫЕ!E21)</f>
        <v>1883300</v>
      </c>
      <c r="AH35" s="10">
        <f>SUM(ДАННЫЕ!F21)</f>
        <v>10500</v>
      </c>
      <c r="AI35" s="10">
        <f>SUM(ДАННЫЕ!G21)</f>
        <v>150000</v>
      </c>
      <c r="AJ35" s="10">
        <f>SUM(ДАННЫЕ!H21)</f>
        <v>1389000</v>
      </c>
      <c r="AK35" s="10">
        <f>SUM(ДАННЫЕ!I21)</f>
        <v>0</v>
      </c>
      <c r="AL35" s="85">
        <f t="shared" si="22"/>
        <v>1782</v>
      </c>
      <c r="AM35" s="100">
        <f t="shared" si="23"/>
        <v>4.385521885521886</v>
      </c>
      <c r="AN35" s="100">
        <f>SUM(ДАННЫЕ!P21)</f>
        <v>7815</v>
      </c>
      <c r="AO35" s="100">
        <f t="shared" si="24"/>
        <v>-0.7906846240179574</v>
      </c>
      <c r="AP35" s="100">
        <f>SUM(ДАННЫЕ!Q21)</f>
        <v>-1409</v>
      </c>
      <c r="AQ35" s="100">
        <f t="shared" si="25"/>
        <v>296.8372615039282</v>
      </c>
      <c r="AR35" s="100">
        <f>SUM(ДАННЫЕ!R21)</f>
        <v>528964</v>
      </c>
      <c r="AS35" s="101">
        <f t="shared" si="26"/>
        <v>0.8944564774863014</v>
      </c>
      <c r="AT35" s="102">
        <f>SUM(ДАННЫЕ!AB21)</f>
        <v>1593.9214428805892</v>
      </c>
      <c r="AU35" s="102">
        <f t="shared" si="27"/>
        <v>0</v>
      </c>
      <c r="AV35" s="102">
        <f>SUM(ДАННЫЕ!AC21)</f>
        <v>0</v>
      </c>
      <c r="AW35" s="89">
        <v>0.8</v>
      </c>
      <c r="AX35" s="163">
        <v>1</v>
      </c>
      <c r="AY35" s="104">
        <f>SUM(ДАННЫЕ!AF21)</f>
        <v>34.75</v>
      </c>
      <c r="AZ35" s="500"/>
      <c r="BA35" s="105">
        <f>SUM(ДАННЫЕ!AG21)</f>
        <v>0</v>
      </c>
      <c r="BB35" s="500"/>
      <c r="BC35" s="45">
        <f t="shared" si="28"/>
        <v>0.8687965686274512</v>
      </c>
      <c r="BD35" s="45">
        <f t="shared" si="29"/>
        <v>0.9291607027963377</v>
      </c>
      <c r="BE35" s="43">
        <f t="shared" si="12"/>
        <v>1414.23566327633</v>
      </c>
      <c r="BF35" s="45">
        <f t="shared" si="13"/>
        <v>1.0000000000000002</v>
      </c>
      <c r="BG35" s="45">
        <f t="shared" si="30"/>
        <v>1</v>
      </c>
      <c r="BH35" s="45">
        <f t="shared" si="14"/>
        <v>0.34068627450980393</v>
      </c>
      <c r="BI35" s="482"/>
      <c r="BJ35" s="482"/>
      <c r="BK35" s="482"/>
      <c r="BL35" s="482"/>
      <c r="BM35" s="482"/>
      <c r="BN35" s="482"/>
      <c r="BO35" s="110">
        <v>1.6</v>
      </c>
      <c r="BP35" s="485"/>
      <c r="BQ35" s="56">
        <v>1</v>
      </c>
      <c r="BR35" s="485"/>
      <c r="BS35" s="491"/>
      <c r="BT35" s="58">
        <f t="shared" si="31"/>
        <v>0.9296296296296297</v>
      </c>
      <c r="BU35" s="58">
        <f t="shared" si="15"/>
        <v>1</v>
      </c>
      <c r="BV35" s="58">
        <f t="shared" si="16"/>
        <v>0.3903324259671698</v>
      </c>
      <c r="BW35" s="111"/>
      <c r="BX35" s="98">
        <v>0</v>
      </c>
      <c r="BY35" s="43">
        <f t="shared" si="32"/>
        <v>1751.9142857142858</v>
      </c>
      <c r="BZ35" s="98">
        <v>0</v>
      </c>
      <c r="CA35" s="98">
        <f>SUM(ДАННЫЕ!B21)</f>
        <v>1782</v>
      </c>
      <c r="CB35" s="476"/>
      <c r="CC35" s="488"/>
      <c r="CD35" s="98">
        <v>0</v>
      </c>
      <c r="CE35" s="113">
        <f>SUM(ДАННЫЕ!C21)</f>
        <v>338</v>
      </c>
      <c r="CF35" s="152"/>
    </row>
    <row r="36" spans="1:84" ht="12.75">
      <c r="A36" s="5" t="s">
        <v>21</v>
      </c>
      <c r="B36" s="27">
        <f t="shared" si="0"/>
        <v>646384.6984419057</v>
      </c>
      <c r="C36" s="495"/>
      <c r="D36" s="29">
        <f t="shared" si="1"/>
        <v>0.27823323006481415</v>
      </c>
      <c r="E36" s="29">
        <f t="shared" si="17"/>
        <v>1.1084644191019868</v>
      </c>
      <c r="F36" s="68">
        <f>SUM(ДАННЫЕ!D22)</f>
        <v>1073200</v>
      </c>
      <c r="G36" s="43">
        <f t="shared" si="18"/>
        <v>693.0974025974026</v>
      </c>
      <c r="H36" s="498"/>
      <c r="I36" s="29">
        <f t="shared" si="19"/>
        <v>0.30841163573866365</v>
      </c>
      <c r="J36" s="43">
        <f t="shared" si="2"/>
        <v>1348.455334260938</v>
      </c>
      <c r="K36" s="498"/>
      <c r="L36" s="85">
        <f t="shared" si="20"/>
        <v>106.71806725889735</v>
      </c>
      <c r="M36" s="45">
        <f t="shared" si="21"/>
        <v>0.8</v>
      </c>
      <c r="N36" s="83">
        <f t="shared" si="3"/>
        <v>52.383098452786435</v>
      </c>
      <c r="O36" s="83">
        <f t="shared" si="4"/>
        <v>0</v>
      </c>
      <c r="P36" s="83">
        <f t="shared" si="5"/>
        <v>3.3818239407310897</v>
      </c>
      <c r="Q36" s="45">
        <f t="shared" si="6"/>
        <v>50.953144865379834</v>
      </c>
      <c r="R36" s="43">
        <f t="shared" si="7"/>
        <v>1175.2854708574562</v>
      </c>
      <c r="S36" s="37">
        <f t="shared" si="8"/>
        <v>0</v>
      </c>
      <c r="T36" s="37">
        <f t="shared" si="9"/>
        <v>10.880433214349289</v>
      </c>
      <c r="U36" s="44">
        <f t="shared" si="10"/>
        <v>136.55137019028078</v>
      </c>
      <c r="V36" s="44">
        <f t="shared" si="11"/>
        <v>0</v>
      </c>
      <c r="W36" s="98">
        <f>SUM(ДАННЫЕ!V22)</f>
        <v>810905.357142857</v>
      </c>
      <c r="X36" s="98">
        <f>SUM(ДАННЫЕ!X22)</f>
        <v>817041.940507709</v>
      </c>
      <c r="Y36" s="98">
        <f>SUM(ДАННЫЕ!J22)</f>
        <v>0</v>
      </c>
      <c r="Z36" s="98">
        <f>SUM(ДАННЫЕ!K22)</f>
        <v>19147</v>
      </c>
      <c r="AA36" s="98">
        <f>SUM(ДАННЫЕ!L22)</f>
        <v>128565</v>
      </c>
      <c r="AB36" s="98">
        <f>SUM(ДАННЫЕ!W22)</f>
        <v>0</v>
      </c>
      <c r="AC36" s="98">
        <f>SUM(ДАННЫЕ!M22)</f>
        <v>0</v>
      </c>
      <c r="AD36" s="98">
        <f>SUM(ДАННЫЕ!Q22)</f>
        <v>-196</v>
      </c>
      <c r="AE36" s="98">
        <f>SUM(ДАННЫЕ!R22)</f>
        <v>72029</v>
      </c>
      <c r="AF36" s="98">
        <f>SUM(ДАННЫЕ!Y22)</f>
        <v>0</v>
      </c>
      <c r="AG36" s="10">
        <f>SUM(ДАННЫЕ!E22)</f>
        <v>238700</v>
      </c>
      <c r="AH36" s="10">
        <f>SUM(ДАННЫЕ!F22)</f>
        <v>0</v>
      </c>
      <c r="AI36" s="10">
        <f>SUM(ДАННЫЕ!G22)</f>
        <v>120000</v>
      </c>
      <c r="AJ36" s="10">
        <f>SUM(ДАННЫЕ!H22)</f>
        <v>438000</v>
      </c>
      <c r="AK36" s="10">
        <f>SUM(ДАННЫЕ!I22)</f>
        <v>0</v>
      </c>
      <c r="AL36" s="85">
        <f t="shared" si="22"/>
        <v>705</v>
      </c>
      <c r="AM36" s="100">
        <f t="shared" si="23"/>
        <v>0</v>
      </c>
      <c r="AN36" s="100">
        <f>SUM(ДАННЫЕ!P22)</f>
        <v>0</v>
      </c>
      <c r="AO36" s="100">
        <f t="shared" si="24"/>
        <v>-0.27801418439716313</v>
      </c>
      <c r="AP36" s="100">
        <f>SUM(ДАННЫЕ!Q22)</f>
        <v>-196</v>
      </c>
      <c r="AQ36" s="100">
        <f t="shared" si="25"/>
        <v>102.16879432624114</v>
      </c>
      <c r="AR36" s="100">
        <f>SUM(ДАННЫЕ!R22)</f>
        <v>72029</v>
      </c>
      <c r="AS36" s="101">
        <f t="shared" si="26"/>
        <v>0.6375856608461828</v>
      </c>
      <c r="AT36" s="102">
        <f>SUM(ДАННЫЕ!AB22)</f>
        <v>449.4978908965589</v>
      </c>
      <c r="AU36" s="102">
        <f t="shared" si="27"/>
        <v>0</v>
      </c>
      <c r="AV36" s="102">
        <f>SUM(ДАННЫЕ!AC22)</f>
        <v>0</v>
      </c>
      <c r="AW36" s="89">
        <v>0.8</v>
      </c>
      <c r="AX36" s="163">
        <v>1</v>
      </c>
      <c r="AY36" s="104">
        <f>SUM(ДАННЫЕ!AF22)</f>
        <v>48.1</v>
      </c>
      <c r="AZ36" s="501"/>
      <c r="BA36" s="105">
        <f>SUM(ДАННЫЕ!AG22)</f>
        <v>0</v>
      </c>
      <c r="BB36" s="501"/>
      <c r="BC36" s="45">
        <f t="shared" si="28"/>
        <v>0.8948421568627454</v>
      </c>
      <c r="BD36" s="45">
        <f t="shared" si="29"/>
        <v>1.1284621617779464</v>
      </c>
      <c r="BE36" s="43">
        <f t="shared" si="12"/>
        <v>699.8866484508635</v>
      </c>
      <c r="BF36" s="45">
        <f t="shared" si="13"/>
        <v>1.0000000000000002</v>
      </c>
      <c r="BG36" s="45">
        <f t="shared" si="30"/>
        <v>1</v>
      </c>
      <c r="BH36" s="45">
        <f t="shared" si="14"/>
        <v>0.4715686274509804</v>
      </c>
      <c r="BI36" s="483"/>
      <c r="BJ36" s="483"/>
      <c r="BK36" s="483"/>
      <c r="BL36" s="483"/>
      <c r="BM36" s="483"/>
      <c r="BN36" s="483"/>
      <c r="BO36" s="110">
        <v>1.6</v>
      </c>
      <c r="BP36" s="486"/>
      <c r="BQ36" s="56">
        <v>1</v>
      </c>
      <c r="BR36" s="486"/>
      <c r="BS36" s="492"/>
      <c r="BT36" s="58">
        <f t="shared" si="31"/>
        <v>1.1276595744680853</v>
      </c>
      <c r="BU36" s="58">
        <f t="shared" si="15"/>
        <v>1</v>
      </c>
      <c r="BV36" s="58">
        <f t="shared" si="16"/>
        <v>2.0579064587973273</v>
      </c>
      <c r="BW36" s="111"/>
      <c r="BX36" s="98">
        <v>0</v>
      </c>
      <c r="BY36" s="43">
        <f t="shared" si="32"/>
        <v>693.0974025974026</v>
      </c>
      <c r="BZ36" s="98">
        <v>0</v>
      </c>
      <c r="CA36" s="98">
        <f>SUM(ДАННЫЕ!B22)</f>
        <v>705</v>
      </c>
      <c r="CB36" s="476"/>
      <c r="CC36" s="488"/>
      <c r="CD36" s="98">
        <v>0</v>
      </c>
      <c r="CE36" s="113">
        <f>SUM(ДАННЫЕ!C22)</f>
        <v>705</v>
      </c>
      <c r="CF36" s="152"/>
    </row>
    <row r="37" spans="1:83" s="6" customFormat="1" ht="12.75">
      <c r="A37" s="5" t="s">
        <v>2</v>
      </c>
      <c r="B37" s="161">
        <f>SUM(B25:B36)</f>
        <v>5265122.782607304</v>
      </c>
      <c r="C37" s="5"/>
      <c r="D37" s="30"/>
      <c r="E37" s="30"/>
      <c r="F37" s="69">
        <f>SUM(F25:F36)</f>
        <v>9958700</v>
      </c>
      <c r="G37" s="41">
        <f>SUM(G25:G36)</f>
        <v>13626.000000000002</v>
      </c>
      <c r="H37" s="41"/>
      <c r="I37" s="30"/>
      <c r="J37" s="41">
        <f t="shared" si="2"/>
        <v>3567.0115954792304</v>
      </c>
      <c r="K37" s="38"/>
      <c r="L37" s="86">
        <f t="shared" si="20"/>
        <v>3567.01159547923</v>
      </c>
      <c r="M37" s="46"/>
      <c r="N37" s="84">
        <f>SUM(N25:N36)</f>
        <v>2552.4511962424767</v>
      </c>
      <c r="O37" s="84">
        <f>SUM(O25:O36)</f>
        <v>11.008366358432408</v>
      </c>
      <c r="P37" s="84">
        <f>SUM(P25:P36)</f>
        <v>106.71510347864374</v>
      </c>
      <c r="Q37" s="46">
        <f>IF(AQ37&lt;0,(-AQ37/$AQ$37*$AJ$37/$CC$25),(AQ37/$AQ$37*$AJ$37/$CC$25))</f>
        <v>892.1400264200793</v>
      </c>
      <c r="R37" s="41">
        <f t="shared" si="7"/>
        <v>7241.600628949575</v>
      </c>
      <c r="S37" s="38">
        <f t="shared" si="8"/>
        <v>5.447247908410391</v>
      </c>
      <c r="T37" s="38">
        <f t="shared" si="9"/>
        <v>2.9555408777337444</v>
      </c>
      <c r="U37" s="82">
        <f t="shared" si="10"/>
        <v>225.03785410245115</v>
      </c>
      <c r="V37" s="38">
        <f>SUM(V25:V36)</f>
        <v>71.43136138861425</v>
      </c>
      <c r="W37" s="99">
        <f aca="true" t="shared" si="33" ref="W37:AK37">SUM(W25:W36)</f>
        <v>88651905.00000004</v>
      </c>
      <c r="X37" s="99">
        <f t="shared" si="33"/>
        <v>105355480.28344485</v>
      </c>
      <c r="Y37" s="99">
        <f t="shared" si="33"/>
        <v>37857</v>
      </c>
      <c r="Z37" s="99">
        <f>SUM(Z25:Z36)</f>
        <v>123716</v>
      </c>
      <c r="AA37" s="99">
        <f t="shared" si="33"/>
        <v>2528881</v>
      </c>
      <c r="AB37" s="99">
        <f t="shared" si="33"/>
        <v>59620</v>
      </c>
      <c r="AC37" s="99">
        <f t="shared" si="33"/>
        <v>98469</v>
      </c>
      <c r="AD37" s="99">
        <f t="shared" si="33"/>
        <v>-15357</v>
      </c>
      <c r="AE37" s="99">
        <f t="shared" si="33"/>
        <v>3424689</v>
      </c>
      <c r="AF37" s="99">
        <f t="shared" si="33"/>
        <v>58670</v>
      </c>
      <c r="AG37" s="11">
        <f t="shared" si="33"/>
        <v>34779700</v>
      </c>
      <c r="AH37" s="11">
        <f t="shared" si="33"/>
        <v>150000</v>
      </c>
      <c r="AI37" s="11">
        <f t="shared" si="33"/>
        <v>1454100</v>
      </c>
      <c r="AJ37" s="11">
        <f t="shared" si="33"/>
        <v>12156300</v>
      </c>
      <c r="AK37" s="11">
        <f t="shared" si="33"/>
        <v>64000</v>
      </c>
      <c r="AL37" s="88">
        <f>SUM(AL25:AL36)</f>
        <v>13860</v>
      </c>
      <c r="AM37" s="38">
        <f>SUM(AM25:AM36)</f>
        <v>269.8415411838063</v>
      </c>
      <c r="AN37" s="38">
        <f aca="true" t="shared" si="34" ref="AN37:AU37">SUM(AN25:AN36)</f>
        <v>334841</v>
      </c>
      <c r="AO37" s="38">
        <f>SUM(AO25:AO36)</f>
        <v>-8.772873152604229</v>
      </c>
      <c r="AP37" s="38">
        <f t="shared" si="34"/>
        <v>-15357</v>
      </c>
      <c r="AQ37" s="38">
        <f>SUM(AQ25:AQ36)</f>
        <v>1788.8762530819095</v>
      </c>
      <c r="AR37" s="38">
        <f t="shared" si="34"/>
        <v>3424689</v>
      </c>
      <c r="AS37" s="99">
        <f>SUM(AS25:AS36)</f>
        <v>31.06739255221209</v>
      </c>
      <c r="AT37" s="103">
        <f t="shared" si="34"/>
        <v>32717.271607489834</v>
      </c>
      <c r="AU37" s="103">
        <f t="shared" si="34"/>
        <v>0.03368194964410311</v>
      </c>
      <c r="AV37" s="103">
        <f>SUM(AV25:AV36)</f>
        <v>29.529914747180534</v>
      </c>
      <c r="AW37" s="47"/>
      <c r="AX37" s="164"/>
      <c r="AY37" s="106"/>
      <c r="AZ37" s="106"/>
      <c r="BA37" s="106"/>
      <c r="BB37" s="106"/>
      <c r="BC37" s="41"/>
      <c r="BD37" s="41"/>
      <c r="BE37" s="41">
        <f>SUM(BE25:BE36)</f>
        <v>12413.094590429324</v>
      </c>
      <c r="BF37" s="46"/>
      <c r="BG37" s="46"/>
      <c r="BH37" s="45"/>
      <c r="BI37" s="11"/>
      <c r="BJ37" s="11"/>
      <c r="BK37" s="11"/>
      <c r="BL37" s="11"/>
      <c r="BM37" s="11"/>
      <c r="BN37" s="11"/>
      <c r="BO37" s="99"/>
      <c r="BP37" s="41"/>
      <c r="BQ37" s="41"/>
      <c r="BR37" s="41"/>
      <c r="BS37" s="99"/>
      <c r="BT37" s="41"/>
      <c r="BU37" s="41"/>
      <c r="BV37" s="41"/>
      <c r="BW37" s="99"/>
      <c r="BX37" s="99">
        <v>0</v>
      </c>
      <c r="BY37" s="41">
        <f>SUM(BY25:BY36)</f>
        <v>13626.000000000002</v>
      </c>
      <c r="BZ37" s="99">
        <v>0</v>
      </c>
      <c r="CA37" s="99">
        <f>SUM(CA25:CA36)</f>
        <v>13860</v>
      </c>
      <c r="CB37" s="477"/>
      <c r="CC37" s="489"/>
      <c r="CD37" s="98">
        <v>0</v>
      </c>
      <c r="CE37" s="114">
        <f>SUM(CE25:CE36)</f>
        <v>6735</v>
      </c>
    </row>
    <row r="38" s="7" customFormat="1" ht="12.75"/>
    <row r="39" s="2" customFormat="1" ht="12.75">
      <c r="CB39" s="8"/>
    </row>
  </sheetData>
  <sheetProtection/>
  <protectedRanges>
    <protectedRange password="CF7A" sqref="AX23:AX24 AB21 D20:F24 AX20:AX21 D37:F37 B20:B24 B37 D25:E25 H20:V25 R26:V36 D26:D36 BC20:BX20 W22:CE22 AF21 H37:V37 H26:P36" name="Диапазон1"/>
    <protectedRange password="CF7A" sqref="F25:F36" name="Диапазон1_1_1"/>
  </protectedRanges>
  <mergeCells count="52">
    <mergeCell ref="C25:C36"/>
    <mergeCell ref="H25:H36"/>
    <mergeCell ref="K25:K36"/>
    <mergeCell ref="AZ25:AZ36"/>
    <mergeCell ref="BB25:BB36"/>
    <mergeCell ref="CB25:CB37"/>
    <mergeCell ref="AM20:AR20"/>
    <mergeCell ref="AS20:AV20"/>
    <mergeCell ref="BI20:BK20"/>
    <mergeCell ref="BL20:BN20"/>
    <mergeCell ref="BM25:BM36"/>
    <mergeCell ref="BN25:BN36"/>
    <mergeCell ref="BP25:BP36"/>
    <mergeCell ref="BZ23:CC23"/>
    <mergeCell ref="BI25:BI36"/>
    <mergeCell ref="BJ25:BJ36"/>
    <mergeCell ref="BK25:BK36"/>
    <mergeCell ref="BL25:BL36"/>
    <mergeCell ref="CC25:CC37"/>
    <mergeCell ref="BR25:BR36"/>
    <mergeCell ref="BS25:BS36"/>
    <mergeCell ref="Y23:AB23"/>
    <mergeCell ref="AC23:AF23"/>
    <mergeCell ref="AG23:AK23"/>
    <mergeCell ref="AM23:AR23"/>
    <mergeCell ref="AS23:AV23"/>
    <mergeCell ref="AG20:AK20"/>
    <mergeCell ref="A20:A22"/>
    <mergeCell ref="N20:Q20"/>
    <mergeCell ref="R20:V20"/>
    <mergeCell ref="Y20:AB20"/>
    <mergeCell ref="AC20:AF20"/>
    <mergeCell ref="B18:C18"/>
    <mergeCell ref="C9:F9"/>
    <mergeCell ref="J9:O13"/>
    <mergeCell ref="C10:F10"/>
    <mergeCell ref="C11:F11"/>
    <mergeCell ref="C12:F12"/>
    <mergeCell ref="C13:F13"/>
    <mergeCell ref="C14:F14"/>
    <mergeCell ref="J14:O14"/>
    <mergeCell ref="C15:F15"/>
    <mergeCell ref="J15:O16"/>
    <mergeCell ref="C16:F16"/>
    <mergeCell ref="B2:J2"/>
    <mergeCell ref="C7:F7"/>
    <mergeCell ref="J7:O8"/>
    <mergeCell ref="C8:F8"/>
    <mergeCell ref="B4:C4"/>
    <mergeCell ref="C5:G5"/>
    <mergeCell ref="C6:F6"/>
    <mergeCell ref="J6:O6"/>
  </mergeCells>
  <printOptions/>
  <pageMargins left="0.35433070866141736" right="0.15748031496062992" top="0.7480314960629921" bottom="0.31496062992125984" header="0.31496062992125984" footer="0.15748031496062992"/>
  <pageSetup fitToWidth="5" fitToHeight="1" horizontalDpi="600" verticalDpi="600" orientation="landscape" paperSize="9" scale="38" r:id="rId1"/>
</worksheet>
</file>

<file path=xl/worksheets/sheet7.xml><?xml version="1.0" encoding="utf-8"?>
<worksheet xmlns="http://schemas.openxmlformats.org/spreadsheetml/2006/main" xmlns:r="http://schemas.openxmlformats.org/officeDocument/2006/relationships">
  <sheetPr>
    <pageSetUpPr fitToPage="1"/>
  </sheetPr>
  <dimension ref="B3:C17"/>
  <sheetViews>
    <sheetView zoomScalePageLayoutView="0" workbookViewId="0" topLeftCell="A1">
      <selection activeCell="H15" sqref="H15"/>
    </sheetView>
  </sheetViews>
  <sheetFormatPr defaultColWidth="9.00390625" defaultRowHeight="12.75"/>
  <cols>
    <col min="2" max="2" width="16.00390625" style="0" customWidth="1"/>
    <col min="3" max="3" width="16.25390625" style="0" customWidth="1"/>
  </cols>
  <sheetData>
    <row r="3" ht="18">
      <c r="C3" s="323">
        <v>2016</v>
      </c>
    </row>
    <row r="5" spans="2:3" ht="15">
      <c r="B5" s="174" t="s">
        <v>10</v>
      </c>
      <c r="C5" s="325">
        <v>630970</v>
      </c>
    </row>
    <row r="6" spans="2:3" ht="15">
      <c r="B6" s="174" t="s">
        <v>11</v>
      </c>
      <c r="C6" s="325">
        <v>884351</v>
      </c>
    </row>
    <row r="7" spans="2:3" ht="15">
      <c r="B7" s="174" t="s">
        <v>12</v>
      </c>
      <c r="C7" s="325">
        <v>341958</v>
      </c>
    </row>
    <row r="8" spans="2:3" ht="15">
      <c r="B8" s="246" t="s">
        <v>13</v>
      </c>
      <c r="C8" s="325" t="s">
        <v>463</v>
      </c>
    </row>
    <row r="9" spans="2:3" ht="15">
      <c r="B9" s="174" t="s">
        <v>14</v>
      </c>
      <c r="C9" s="325">
        <v>339781</v>
      </c>
    </row>
    <row r="10" spans="2:3" ht="15">
      <c r="B10" s="174" t="s">
        <v>15</v>
      </c>
      <c r="C10" s="325">
        <v>447003</v>
      </c>
    </row>
    <row r="11" spans="2:3" ht="15">
      <c r="B11" s="246" t="s">
        <v>16</v>
      </c>
      <c r="C11" s="325">
        <v>134793</v>
      </c>
    </row>
    <row r="12" spans="2:3" ht="15">
      <c r="B12" s="246" t="s">
        <v>18</v>
      </c>
      <c r="C12" s="325" t="s">
        <v>463</v>
      </c>
    </row>
    <row r="13" spans="2:3" ht="15">
      <c r="B13" s="246" t="s">
        <v>17</v>
      </c>
      <c r="C13" s="325" t="s">
        <v>463</v>
      </c>
    </row>
    <row r="14" spans="2:3" ht="15">
      <c r="B14" s="174" t="s">
        <v>19</v>
      </c>
      <c r="C14" s="325">
        <v>600021</v>
      </c>
    </row>
    <row r="15" spans="2:3" ht="15">
      <c r="B15" s="174" t="s">
        <v>20</v>
      </c>
      <c r="C15" s="325">
        <v>801099</v>
      </c>
    </row>
    <row r="16" spans="2:3" ht="15">
      <c r="B16" s="174" t="s">
        <v>21</v>
      </c>
      <c r="C16" s="325">
        <v>493336</v>
      </c>
    </row>
    <row r="17" spans="2:3" ht="14.25">
      <c r="B17" s="324" t="s">
        <v>2</v>
      </c>
      <c r="C17" s="322">
        <f>SUM(C5:C16)</f>
        <v>4673312</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olga_d</dc:creator>
  <cp:keywords/>
  <dc:description/>
  <cp:lastModifiedBy>Sisolytina_EV</cp:lastModifiedBy>
  <cp:lastPrinted>2013-11-01T07:24:52Z</cp:lastPrinted>
  <dcterms:created xsi:type="dcterms:W3CDTF">2006-06-15T06:54:09Z</dcterms:created>
  <dcterms:modified xsi:type="dcterms:W3CDTF">2013-11-06T04:15:17Z</dcterms:modified>
  <cp:category/>
  <cp:version/>
  <cp:contentType/>
  <cp:contentStatus/>
</cp:coreProperties>
</file>