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tabRatio="911" activeTab="1"/>
  </bookViews>
  <sheets>
    <sheet name="ДАННЫЕ" sheetId="1" r:id="rId1"/>
    <sheet name="Распределение дотации" sheetId="2" r:id="rId2"/>
    <sheet name="Индекс налогового потенциал" sheetId="3" r:id="rId3"/>
    <sheet name="Индекс бюджетных расходов" sheetId="4" r:id="rId4"/>
    <sheet name="ЧИСЛЕННОСТЬ" sheetId="5" r:id="rId5"/>
  </sheets>
  <definedNames>
    <definedName name="_xlnm.Print_Titles" localSheetId="0">'ДАННЫЕ'!$A:$A</definedName>
    <definedName name="_xlnm.Print_Titles" localSheetId="3">'Индекс бюджетных расходов'!$A:$A</definedName>
    <definedName name="_xlnm.Print_Titles" localSheetId="2">'Индекс налогового потенциал'!$A:$A</definedName>
    <definedName name="размер_дотации" localSheetId="2">#REF!</definedName>
    <definedName name="размер_дотации" localSheetId="4">#REF!</definedName>
    <definedName name="размер_дотации">#REF!</definedName>
  </definedNames>
  <calcPr fullCalcOnLoad="1"/>
</workbook>
</file>

<file path=xl/sharedStrings.xml><?xml version="1.0" encoding="utf-8"?>
<sst xmlns="http://schemas.openxmlformats.org/spreadsheetml/2006/main" count="437" uniqueCount="291">
  <si>
    <t>поселение</t>
  </si>
  <si>
    <t>расчет</t>
  </si>
  <si>
    <t>ИТОГО</t>
  </si>
  <si>
    <t>налог на имущество</t>
  </si>
  <si>
    <t>земельный налог</t>
  </si>
  <si>
    <t>Батама</t>
  </si>
  <si>
    <t>Буря</t>
  </si>
  <si>
    <t>Зулумай</t>
  </si>
  <si>
    <t>Кимильтей</t>
  </si>
  <si>
    <t>Масляногорск</t>
  </si>
  <si>
    <t>Новолетники</t>
  </si>
  <si>
    <t>Покровка</t>
  </si>
  <si>
    <t>Ухтуй</t>
  </si>
  <si>
    <t>Услон</t>
  </si>
  <si>
    <t>Филипповск</t>
  </si>
  <si>
    <t>Хазан</t>
  </si>
  <si>
    <t>Харайгун</t>
  </si>
  <si>
    <t>ИБРi</t>
  </si>
  <si>
    <t>ИНПi</t>
  </si>
  <si>
    <t>НПi</t>
  </si>
  <si>
    <t>Кi</t>
  </si>
  <si>
    <t>ПП</t>
  </si>
  <si>
    <t>устанавливается решением Думы</t>
  </si>
  <si>
    <t>Показатель среднедушевых налоговых доходов i-го поселения</t>
  </si>
  <si>
    <t>Показатель среднедушевых налоговых доходов всех поселений муниципального района</t>
  </si>
  <si>
    <t>НП</t>
  </si>
  <si>
    <t>Объем налоговых доходов поселений по единым нормативам отчислений от налогов и сборов, подлижащих зачислению в бюджет муниц.района, в бюджет поселений, установленные предст. органом муниц.района в соответствии с ч. 4 ст. 61 БК РФ</t>
  </si>
  <si>
    <t>Размер дотации на выравнивание бюджетной обеспеченности муниц. района (а также объем налоговых доходов по дополнительным нормативам отчислений) бюджету муниц. района, утвержденный законом области</t>
  </si>
  <si>
    <t>Наименование показателя</t>
  </si>
  <si>
    <t>Расчет</t>
  </si>
  <si>
    <t>Дi</t>
  </si>
  <si>
    <t>БОi</t>
  </si>
  <si>
    <t>ИНПi/ИБРi</t>
  </si>
  <si>
    <t>Размер дотации на выравнивание бюджетной обеспеченности поселений (а также объем налоговых доходов по дополнительным нормативам отчислений) i-му поселению</t>
  </si>
  <si>
    <t>Расчетная численность постоянного населения i-го поселения</t>
  </si>
  <si>
    <t>РПi</t>
  </si>
  <si>
    <t>государственная пошлина, подлежащая зачислению в бюджеты поселений</t>
  </si>
  <si>
    <t>Численность постоянного населения всех поселений муниципального района на 1 января текущего финансового года</t>
  </si>
  <si>
    <t>Н</t>
  </si>
  <si>
    <t>данные ФСГС</t>
  </si>
  <si>
    <t>НССij</t>
  </si>
  <si>
    <t>А1</t>
  </si>
  <si>
    <t>А2</t>
  </si>
  <si>
    <t>А3</t>
  </si>
  <si>
    <t>РКi</t>
  </si>
  <si>
    <t>Стоимость капитального ремонта жилого помещения в расчете на 1 кв.м общей площади жилья в месяц в i-м поселении, установленная нормативными правовыми актами Иркутской области</t>
  </si>
  <si>
    <t>Федеральный стандарт предельной стоимости капитального ремонта жилого помещения в расчете на 1 кв.м общей площади жилья в месяц, установленный для Иркутской области Правительством Российской Федерации</t>
  </si>
  <si>
    <t>Коэффициент транспортной доступности, составляющий для поселений, расположенных на территориях, отнесенных к районам Крайнего Севера и приравненным к ним местностям с ограниченными сроками завоза грузов (продукции), - 1,5</t>
  </si>
  <si>
    <t>В1</t>
  </si>
  <si>
    <t>В2</t>
  </si>
  <si>
    <t>В3</t>
  </si>
  <si>
    <t>Коэффициент масштаба i-го поселения</t>
  </si>
  <si>
    <t>Коэффициент урбанизации i-го поселения</t>
  </si>
  <si>
    <t>Источник</t>
  </si>
  <si>
    <t>Ед.изм.</t>
  </si>
  <si>
    <t>Условные обозначения</t>
  </si>
  <si>
    <t>Объем налоговых доходов (за исключением налоговых доходов по дополнительным нормативам отчислений) бюджета муниц. района, утвержденные решением на очередной финансовый год</t>
  </si>
  <si>
    <t>НД</t>
  </si>
  <si>
    <t>руб.</t>
  </si>
  <si>
    <t>ДВБОМР</t>
  </si>
  <si>
    <t>Закон Иркутской области</t>
  </si>
  <si>
    <t>ДВБОП</t>
  </si>
  <si>
    <t>ППj</t>
  </si>
  <si>
    <r>
      <t xml:space="preserve">НД </t>
    </r>
    <r>
      <rPr>
        <vertAlign val="superscript"/>
        <sz val="12"/>
        <rFont val="Times New Roman"/>
        <family val="1"/>
      </rPr>
      <t>ЕН</t>
    </r>
  </si>
  <si>
    <r>
      <t>Е</t>
    </r>
    <r>
      <rPr>
        <vertAlign val="subscript"/>
        <sz val="12"/>
        <rFont val="Times New Roman"/>
        <family val="1"/>
      </rPr>
      <t>пред.отч.,i</t>
    </r>
  </si>
  <si>
    <r>
      <t>Е</t>
    </r>
    <r>
      <rPr>
        <vertAlign val="subscript"/>
        <sz val="12"/>
        <rFont val="Times New Roman"/>
        <family val="1"/>
      </rPr>
      <t>отч.,i</t>
    </r>
  </si>
  <si>
    <r>
      <t>К</t>
    </r>
    <r>
      <rPr>
        <vertAlign val="subscript"/>
        <sz val="12"/>
        <rFont val="Times New Roman"/>
        <family val="1"/>
      </rPr>
      <t>пред.отч.,i</t>
    </r>
  </si>
  <si>
    <r>
      <t>К</t>
    </r>
    <r>
      <rPr>
        <vertAlign val="subscript"/>
        <sz val="12"/>
        <rFont val="Times New Roman"/>
        <family val="1"/>
      </rPr>
      <t>отч.,i</t>
    </r>
  </si>
  <si>
    <r>
      <t xml:space="preserve">УП </t>
    </r>
    <r>
      <rPr>
        <vertAlign val="subscript"/>
        <sz val="12"/>
        <rFont val="Times New Roman"/>
        <family val="1"/>
      </rPr>
      <t>тек.,ij</t>
    </r>
  </si>
  <si>
    <t>Прогноз поступлений по виду дохода в бюджеты всех поселений данного муниципального образования на очередной и плановый период</t>
  </si>
  <si>
    <t>Поступления по соответствующему виду дохода в контингенте i-го поселения за предшествующий отчетному финансовый год</t>
  </si>
  <si>
    <t>Начисления по соответствующему виду дохода в контингенте i-го поселения за предшествующий отчетному финансовый год</t>
  </si>
  <si>
    <t>Начисления за 1-е полугодие текущего финансового года в контингенте i-го поселения по соответствующему виду доходов на одного жителя i-го поселения</t>
  </si>
  <si>
    <t>Районный коэффициент и процентная надбавка к заработной плате за стаж работы в районах Крайнего Севера и приравненных к ним местностях работников бюджетной сферы поселения</t>
  </si>
  <si>
    <t>Предельная стоимость предоставляемых жилищно-коммунальных услуг в расчете на 1 кв. метр общей площади жилья в месяц в поселении, установленная нормативными правовыми актами Иркутской области</t>
  </si>
  <si>
    <t xml:space="preserve">Федеральный стандарт предельной стоимости предоставляемых жилищно-коммунальных услуг в расчете на 1 кв. метр общей площади жилья в месяц, установленный для Иркутской области Правительством Российской Федерации </t>
  </si>
  <si>
    <t>Численность населения поселения, проживающего в населенных пунктах с численностью населения не более 500 человек</t>
  </si>
  <si>
    <t>Численность населения, проживающего в поселении, расположенном на территории, отнесенной к районам Крайнего Севера и приравненным к ним местностям с ограниченными сроками завоза грузов (продукции)</t>
  </si>
  <si>
    <t>Коэффициент расселения i-го поселения</t>
  </si>
  <si>
    <t>Нij</t>
  </si>
  <si>
    <t>(рублей)</t>
  </si>
  <si>
    <t>2012 г.</t>
  </si>
  <si>
    <t>закон Иркутской области</t>
  </si>
  <si>
    <t>налог на доходы физических лиц</t>
  </si>
  <si>
    <t xml:space="preserve"> единый сельскохозяйственный налог</t>
  </si>
  <si>
    <t>налог на имущество физических лиц</t>
  </si>
  <si>
    <t>сумма</t>
  </si>
  <si>
    <t>данные ИФНС</t>
  </si>
  <si>
    <t>отчетность фин.органа ф. 317</t>
  </si>
  <si>
    <t>Котдi</t>
  </si>
  <si>
    <t>составляет: для поселений, имеющих выход на железнодорожную магистраль - 1,1; для поселений, не имеющих выхода на железнодорожную магистраль - 1,6; для остальных поселений - 1</t>
  </si>
  <si>
    <t>Коэффициент отдаленности для поселений, расположенных на территориях, отнесенных к районам Крайнего Севера и приравненным к ним местностям</t>
  </si>
  <si>
    <t>Rжкуi</t>
  </si>
  <si>
    <t>Rжку</t>
  </si>
  <si>
    <t>Rкапi</t>
  </si>
  <si>
    <t>Rкап</t>
  </si>
  <si>
    <t>закон Иркутской области 56-оз (методика)</t>
  </si>
  <si>
    <t>Ктр</t>
  </si>
  <si>
    <t>НТтрi</t>
  </si>
  <si>
    <t>2013-2015 гг.</t>
  </si>
  <si>
    <t>2011 г.</t>
  </si>
  <si>
    <t>Постановление Правительства Иркутской области «Об отдельных показателях, используемых при определении размера дотации на выравнивание бюджетной обеспеченности поселений и муниципальных районов (городских округов), предоставляемой из областного бюджета в 2013-2015 годах» № 440-пп от 30.08.2012 г.</t>
  </si>
  <si>
    <t>Размер дотации</t>
  </si>
  <si>
    <r>
      <t>БО</t>
    </r>
    <r>
      <rPr>
        <vertAlign val="superscript"/>
        <sz val="11"/>
        <rFont val="Times New Roman"/>
        <family val="1"/>
      </rPr>
      <t>max</t>
    </r>
  </si>
  <si>
    <r>
      <t>БО</t>
    </r>
    <r>
      <rPr>
        <vertAlign val="superscript"/>
        <sz val="11"/>
        <rFont val="Times New Roman"/>
        <family val="1"/>
      </rPr>
      <t>+1</t>
    </r>
    <r>
      <rPr>
        <vertAlign val="subscript"/>
        <sz val="11"/>
        <rFont val="Times New Roman"/>
        <family val="1"/>
      </rPr>
      <t>i</t>
    </r>
  </si>
  <si>
    <t xml:space="preserve"> 01.01.2013 г.</t>
  </si>
  <si>
    <t>2014 г.</t>
  </si>
  <si>
    <t>Начисления по соответствующему виду дохода в контингенте i-го поселения за отчетный финансовый год</t>
  </si>
  <si>
    <t>1 полугодие 2013 г.</t>
  </si>
  <si>
    <t>Поступления по соответствующему виду дохода в контингенте i-го поселения за отчетный финансовый год</t>
  </si>
  <si>
    <t>Поступления по соответствующему виду дохода в контингенте i-го поселения за 1-е полугодие текущего финансового года</t>
  </si>
  <si>
    <t>Закон Иркутской области от 17.12.2008 № 123-оз; Приказ Министерства Труда РФ от 22.11.1990 № 2 (1,3+0,3) = 1,6</t>
  </si>
  <si>
    <t>Поправочный учитывающий экономические особенности поселений</t>
  </si>
  <si>
    <t>Размер районного фонда</t>
  </si>
  <si>
    <t>период</t>
  </si>
  <si>
    <t>2015 г.</t>
  </si>
  <si>
    <t>Размер субсидии, предоставляемой бюджету муниципального района из областного бюджета, в целях реализации мероприятий муниципальных программ повышения эффективности бюджетных расходов</t>
  </si>
  <si>
    <t>СППЭБР</t>
  </si>
  <si>
    <t>расчет фин.органа/3 года</t>
  </si>
  <si>
    <t>Индекс налогового потенциала i-го поселения</t>
  </si>
  <si>
    <t>ПП/Н, где ПП = ∑ ППj</t>
  </si>
  <si>
    <t>Показатель среднедушевых поступлений в контингенте i-го поселения по j-му виду дохода</t>
  </si>
  <si>
    <t>Показатель среднедушевых налоговых доходов i-го поселений по j-му виду дохода</t>
  </si>
  <si>
    <t>НПij</t>
  </si>
  <si>
    <t>единый сельскохозяйственный налог</t>
  </si>
  <si>
    <t>государственная пошлина</t>
  </si>
  <si>
    <r>
      <t>∑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</t>
    </r>
    <r>
      <rPr>
        <vertAlign val="subscript"/>
        <sz val="10"/>
        <rFont val="Times New Roman"/>
        <family val="1"/>
      </rPr>
      <t>j=1</t>
    </r>
    <r>
      <rPr>
        <sz val="10"/>
        <rFont val="Times New Roman"/>
        <family val="1"/>
      </rPr>
      <t>(УПij/УПj х ППj/Н) где НПi = ∑НПij, при этом если УПj&lt;0, то НПij= -(УПij/УПj х ППj/Н)</t>
    </r>
  </si>
  <si>
    <r>
      <t>налог на доходы физических лиц (УП</t>
    </r>
    <r>
      <rPr>
        <vertAlign val="subscript"/>
        <sz val="10"/>
        <rFont val="Times New Roman"/>
        <family val="1"/>
      </rPr>
      <t>i,1</t>
    </r>
    <r>
      <rPr>
        <sz val="10"/>
        <rFont val="Times New Roman"/>
        <family val="1"/>
      </rPr>
      <t>)</t>
    </r>
  </si>
  <si>
    <r>
      <t>единый сельскохозяйственный налог (УП</t>
    </r>
    <r>
      <rPr>
        <vertAlign val="subscript"/>
        <sz val="10"/>
        <rFont val="Times New Roman"/>
        <family val="1"/>
      </rPr>
      <t>i,2</t>
    </r>
    <r>
      <rPr>
        <sz val="10"/>
        <rFont val="Times New Roman"/>
        <family val="1"/>
      </rPr>
      <t>)</t>
    </r>
  </si>
  <si>
    <r>
      <t>налог на имущество (УП</t>
    </r>
    <r>
      <rPr>
        <vertAlign val="subscript"/>
        <sz val="10"/>
        <rFont val="Times New Roman"/>
        <family val="1"/>
      </rPr>
      <t>i,3</t>
    </r>
    <r>
      <rPr>
        <sz val="10"/>
        <rFont val="Times New Roman"/>
        <family val="1"/>
      </rPr>
      <t>)</t>
    </r>
  </si>
  <si>
    <r>
      <t>земельный налог (УП</t>
    </r>
    <r>
      <rPr>
        <vertAlign val="subscript"/>
        <sz val="10"/>
        <rFont val="Times New Roman"/>
        <family val="1"/>
      </rPr>
      <t>i,4</t>
    </r>
    <r>
      <rPr>
        <sz val="10"/>
        <rFont val="Times New Roman"/>
        <family val="1"/>
      </rPr>
      <t>)</t>
    </r>
  </si>
  <si>
    <r>
      <t>государственная пошлина (УП</t>
    </r>
    <r>
      <rPr>
        <vertAlign val="subscript"/>
        <sz val="10"/>
        <rFont val="Times New Roman"/>
        <family val="1"/>
      </rPr>
      <t>i,5</t>
    </r>
    <r>
      <rPr>
        <sz val="10"/>
        <rFont val="Times New Roman"/>
        <family val="1"/>
      </rPr>
      <t>)</t>
    </r>
  </si>
  <si>
    <t>Расчетная сумма налоговых доходов по всем поселениям муниципального района на очередной финансовый год и плановый период</t>
  </si>
  <si>
    <t>(рассчитывается муниципальным районом)</t>
  </si>
  <si>
    <r>
      <t>(0,40 х К</t>
    </r>
    <r>
      <rPr>
        <vertAlign val="subscript"/>
        <sz val="10"/>
        <rFont val="Times New Roman"/>
        <family val="1"/>
      </rPr>
      <t>пред.отч.i</t>
    </r>
    <r>
      <rPr>
        <sz val="10"/>
        <rFont val="Times New Roman"/>
        <family val="1"/>
      </rPr>
      <t xml:space="preserve"> + 0,60 х К</t>
    </r>
    <r>
      <rPr>
        <vertAlign val="subscript"/>
        <sz val="10"/>
        <rFont val="Times New Roman"/>
        <family val="1"/>
      </rPr>
      <t>отч.i</t>
    </r>
    <r>
      <rPr>
        <sz val="10"/>
        <rFont val="Times New Roman"/>
        <family val="1"/>
      </rPr>
      <t>)/РНij</t>
    </r>
  </si>
  <si>
    <t>∑5 j=1(УПтек.ij/УПтекj х ППj/Н), где РПi = ∑РПij, при этом если УПj&lt;0, то РПij= -(УПij/УПj х ППj/Н)</t>
  </si>
  <si>
    <t>ППj (ПП =∑ППj)</t>
  </si>
  <si>
    <t>Расчетная численность постоянного населения i-го поселения, входящего в состав муниципального района</t>
  </si>
  <si>
    <r>
      <t>(0,40 х Е</t>
    </r>
    <r>
      <rPr>
        <vertAlign val="subscript"/>
        <sz val="10"/>
        <rFont val="Times New Roman"/>
        <family val="1"/>
      </rPr>
      <t>пред.отч.i</t>
    </r>
    <r>
      <rPr>
        <sz val="10"/>
        <rFont val="Times New Roman"/>
        <family val="1"/>
      </rPr>
      <t xml:space="preserve"> + 0,60 х Е</t>
    </r>
    <r>
      <rPr>
        <vertAlign val="subscript"/>
        <sz val="10"/>
        <rFont val="Times New Roman"/>
        <family val="1"/>
      </rPr>
      <t>отч.i</t>
    </r>
    <r>
      <rPr>
        <sz val="10"/>
        <rFont val="Times New Roman"/>
        <family val="1"/>
      </rPr>
      <t>)/РНij</t>
    </r>
  </si>
  <si>
    <t>РНij</t>
  </si>
  <si>
    <t>Численность постоянного населения всех поселений муниципального района</t>
  </si>
  <si>
    <t>∑РНij</t>
  </si>
  <si>
    <t xml:space="preserve">(УПij/УПj х ППj/Н) </t>
  </si>
  <si>
    <t xml:space="preserve">19/итог19 х итог 9/24 </t>
  </si>
  <si>
    <t>20/итог20 х итог10/24</t>
  </si>
  <si>
    <t>21/итог21*итог11/24</t>
  </si>
  <si>
    <t>22/итог22*итог12/24</t>
  </si>
  <si>
    <t>23/итог23*13/24</t>
  </si>
  <si>
    <t>УПij (УПi,УПj)</t>
  </si>
  <si>
    <t>(ДАННЫЕ)</t>
  </si>
  <si>
    <t>(14+15+16+17+18)</t>
  </si>
  <si>
    <t>(итог9+итог10+итог11+итог12+итог13)/24</t>
  </si>
  <si>
    <t>НПi/НП +0,25 х (РПi - НПi)/НП х Кi</t>
  </si>
  <si>
    <t>6.1</t>
  </si>
  <si>
    <t>Начисления за 1-е полугодие текущего финансового года в контингенте i-го поселения по соответсвующему j-му виду доходов на одного жителя</t>
  </si>
  <si>
    <t>6/1</t>
  </si>
  <si>
    <t>9/1</t>
  </si>
  <si>
    <t>9.1</t>
  </si>
  <si>
    <t>данные 9.1/данные итог 9.1 х итог 9/24</t>
  </si>
  <si>
    <t>данные 9.1/данные итог 9.1 х итог 13/24</t>
  </si>
  <si>
    <t>данные 6.1/данные итог 6.1 х итог 10/24</t>
  </si>
  <si>
    <t>данные 6.1/данные итог 6.1 х итог 11/24</t>
  </si>
  <si>
    <t>данные 6.1/данные итог 6.1 х итог 12/24</t>
  </si>
  <si>
    <t>РПi = ∑РПij</t>
  </si>
  <si>
    <t>8.1</t>
  </si>
  <si>
    <t>(4+5+6+7+8)</t>
  </si>
  <si>
    <t>Поправочный коэффициент, отражающий различия в уровне социально-экономического развития сельских поселений</t>
  </si>
  <si>
    <t>определен методикой</t>
  </si>
  <si>
    <r>
      <t>К</t>
    </r>
    <r>
      <rPr>
        <vertAlign val="subscript"/>
        <sz val="10"/>
        <rFont val="Times New Roman"/>
        <family val="1"/>
      </rPr>
      <t>i,1</t>
    </r>
  </si>
  <si>
    <r>
      <t>К</t>
    </r>
    <r>
      <rPr>
        <vertAlign val="subscript"/>
        <sz val="10"/>
        <rFont val="Times New Roman"/>
        <family val="1"/>
      </rPr>
      <t>i</t>
    </r>
  </si>
  <si>
    <t>Кi1 х Кi2</t>
  </si>
  <si>
    <t>Поправочный коэффициент 1</t>
  </si>
  <si>
    <r>
      <t>К</t>
    </r>
    <r>
      <rPr>
        <vertAlign val="subscript"/>
        <sz val="10"/>
        <rFont val="Times New Roman"/>
        <family val="1"/>
      </rPr>
      <t>i,2</t>
    </r>
  </si>
  <si>
    <t>Поправочный коэффициент, учитывающий экономические особенности поселений, расчитывается по одному или нескольким показателям</t>
  </si>
  <si>
    <t>Мi/М</t>
  </si>
  <si>
    <t>Фонд начисленной заработной платы по полному кругу организаций в контенгенте i-го поселения (тыс. рублей)</t>
  </si>
  <si>
    <t>в расчете на одного жителя</t>
  </si>
  <si>
    <t>30/итог 30</t>
  </si>
  <si>
    <t>29/численность</t>
  </si>
  <si>
    <t>Мi</t>
  </si>
  <si>
    <t>прогноз социально-экономического развития i поселения на 2014 год</t>
  </si>
  <si>
    <t>27 х 28</t>
  </si>
  <si>
    <t>(2/3+0,25 х (8.1-2)/3 х 26</t>
  </si>
  <si>
    <t>РПij</t>
  </si>
  <si>
    <t>решение об использовании принимается органами местного самоуправления муниципального района</t>
  </si>
  <si>
    <t>Индекс расходов бюджета i-го поселения</t>
  </si>
  <si>
    <r>
      <t>(К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СТОИМ</t>
    </r>
    <r>
      <rPr>
        <sz val="11"/>
        <rFont val="Times New Roman"/>
        <family val="1"/>
      </rPr>
      <t xml:space="preserve">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СТР</t>
    </r>
    <r>
      <rPr>
        <sz val="11"/>
        <rFont val="Times New Roman"/>
        <family val="1"/>
      </rPr>
      <t xml:space="preserve"> х ∑РНij)/∑(К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СТОИМ</t>
    </r>
    <r>
      <rPr>
        <sz val="11"/>
        <rFont val="Times New Roman"/>
        <family val="1"/>
      </rPr>
      <t xml:space="preserve">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СТР</t>
    </r>
    <r>
      <rPr>
        <sz val="11"/>
        <rFont val="Times New Roman"/>
        <family val="1"/>
      </rPr>
      <t xml:space="preserve"> х РНij)</t>
    </r>
  </si>
  <si>
    <t>Коэффициент стоимости предоставления бюджетных услуг i-го поселения</t>
  </si>
  <si>
    <r>
      <t>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СТОИМ</t>
    </r>
  </si>
  <si>
    <r>
      <t>А1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ЗП</t>
    </r>
    <r>
      <rPr>
        <sz val="11"/>
        <rFont val="Times New Roman"/>
        <family val="1"/>
      </rPr>
      <t xml:space="preserve"> +А2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ЦЕН</t>
    </r>
    <r>
      <rPr>
        <sz val="11"/>
        <rFont val="Times New Roman"/>
        <family val="1"/>
      </rPr>
      <t xml:space="preserve"> +А3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ЖКУ</t>
    </r>
  </si>
  <si>
    <t>Коэффициент структуры потребителей бюджетных услуг i-го поселения</t>
  </si>
  <si>
    <r>
      <t>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СТР</t>
    </r>
  </si>
  <si>
    <r>
      <t>В1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М</t>
    </r>
    <r>
      <rPr>
        <sz val="11"/>
        <rFont val="Times New Roman"/>
        <family val="1"/>
      </rPr>
      <t xml:space="preserve"> +В2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У</t>
    </r>
    <r>
      <rPr>
        <sz val="11"/>
        <rFont val="Times New Roman"/>
        <family val="1"/>
      </rPr>
      <t xml:space="preserve"> +В3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РАС</t>
    </r>
  </si>
  <si>
    <r>
      <t>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СТОИМ</t>
    </r>
    <r>
      <rPr>
        <sz val="11"/>
        <rFont val="Times New Roman"/>
        <family val="1"/>
      </rPr>
      <t xml:space="preserve"> х 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СТР</t>
    </r>
    <r>
      <rPr>
        <sz val="11"/>
        <rFont val="Times New Roman"/>
        <family val="1"/>
      </rPr>
      <t xml:space="preserve"> х РНij</t>
    </r>
  </si>
  <si>
    <t>Коэффициент дифференциации заработной платы i-го поселения</t>
  </si>
  <si>
    <t>Коэффициент уровня цен i-го поселения</t>
  </si>
  <si>
    <r>
      <t>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ЦЕН</t>
    </r>
  </si>
  <si>
    <r>
      <t>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ЖКУ</t>
    </r>
  </si>
  <si>
    <t>Коэффициент стоимости жилищно-коммунальных услуг i-поселения</t>
  </si>
  <si>
    <r>
      <t>К</t>
    </r>
    <r>
      <rPr>
        <vertAlign val="subscript"/>
        <sz val="11"/>
        <rFont val="Times New Roman"/>
        <family val="1"/>
      </rPr>
      <t>i</t>
    </r>
    <r>
      <rPr>
        <vertAlign val="superscript"/>
        <sz val="11"/>
        <rFont val="Times New Roman"/>
        <family val="1"/>
      </rPr>
      <t>ЗП</t>
    </r>
  </si>
  <si>
    <t>ОПРЕДЕЛЕНИЕ ИНДЕКСА НАЛОГОВОГО ПОТЕНЦИАЛА</t>
  </si>
  <si>
    <t>ОПРЕДЕЛЕНИЕ ИНДЕКСА БЮДЖЕТНЫХ РАСХОДОВ</t>
  </si>
  <si>
    <t>Численность постоянного населения</t>
  </si>
  <si>
    <t>Статистический бюллетень Иркутскстата "Численность населения по муниципальным образованиям"</t>
  </si>
  <si>
    <t>Численность постоянного городского населения</t>
  </si>
  <si>
    <t>Численность постоянного сельского населения</t>
  </si>
  <si>
    <t>Скорректированная численность постоянного сельского населения</t>
  </si>
  <si>
    <t>НГij+НСij</t>
  </si>
  <si>
    <t>НСij</t>
  </si>
  <si>
    <t>НГij</t>
  </si>
  <si>
    <t>Расчетная численность постоянного населения</t>
  </si>
  <si>
    <t>НГij+НССij</t>
  </si>
  <si>
    <t>2+3</t>
  </si>
  <si>
    <t>НCij х (1 - (∑НСij+∑НГij+НМТj-Нj)/∑НCij)</t>
  </si>
  <si>
    <t>Численность постоянного населения межселенных территорий муниципального района</t>
  </si>
  <si>
    <t>НМТj</t>
  </si>
  <si>
    <t>2+6</t>
  </si>
  <si>
    <t>рассчетное значение (ЧИСЛЕННОСТЬ)</t>
  </si>
  <si>
    <t>РКi (РК)</t>
  </si>
  <si>
    <t>Коэффициент отдаленности</t>
  </si>
  <si>
    <r>
      <t>К</t>
    </r>
    <r>
      <rPr>
        <vertAlign val="superscript"/>
        <sz val="11"/>
        <rFont val="Times New Roman"/>
        <family val="1"/>
      </rPr>
      <t>ОТД</t>
    </r>
  </si>
  <si>
    <t>Порядок распределения дотаций на выравнивание бюджетной обеспеченности поселений</t>
  </si>
  <si>
    <t>Коэффициент транспортной доступности i-го поселения</t>
  </si>
  <si>
    <r>
      <t>К</t>
    </r>
    <r>
      <rPr>
        <vertAlign val="subscript"/>
        <sz val="11"/>
        <rFont val="Times New Roman"/>
        <family val="1"/>
      </rPr>
      <t xml:space="preserve">ij </t>
    </r>
    <r>
      <rPr>
        <vertAlign val="superscript"/>
        <sz val="11"/>
        <rFont val="Times New Roman"/>
        <family val="1"/>
      </rPr>
      <t>ТР</t>
    </r>
  </si>
  <si>
    <t>Средневзвешенный коэффициент отдаленности</t>
  </si>
  <si>
    <r>
      <t>Кi</t>
    </r>
    <r>
      <rPr>
        <vertAlign val="superscript"/>
        <sz val="11"/>
        <rFont val="Times New Roman"/>
        <family val="1"/>
      </rPr>
      <t>ОТД</t>
    </r>
  </si>
  <si>
    <t>Общий коэффициент транспортной доступности для всех поселений</t>
  </si>
  <si>
    <r>
      <t>К</t>
    </r>
    <r>
      <rPr>
        <vertAlign val="subscript"/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ТР</t>
    </r>
  </si>
  <si>
    <r>
      <t xml:space="preserve">1 +( Кij </t>
    </r>
    <r>
      <rPr>
        <vertAlign val="superscript"/>
        <sz val="11"/>
        <rFont val="Times New Roman"/>
        <family val="1"/>
      </rPr>
      <t>ТР</t>
    </r>
    <r>
      <rPr>
        <sz val="11"/>
        <rFont val="Times New Roman"/>
        <family val="1"/>
      </rPr>
      <t xml:space="preserve"> х Нi</t>
    </r>
    <r>
      <rPr>
        <vertAlign val="superscript"/>
        <sz val="11"/>
        <rFont val="Times New Roman"/>
        <family val="1"/>
      </rPr>
      <t>ТР</t>
    </r>
    <r>
      <rPr>
        <sz val="11"/>
        <rFont val="Times New Roman"/>
        <family val="1"/>
      </rPr>
      <t>/Нij)/1+( К</t>
    </r>
    <r>
      <rPr>
        <vertAlign val="superscript"/>
        <sz val="11"/>
        <rFont val="Times New Roman"/>
        <family val="1"/>
      </rPr>
      <t>ТР</t>
    </r>
    <r>
      <rPr>
        <sz val="11"/>
        <rFont val="Times New Roman"/>
        <family val="1"/>
      </rPr>
      <t xml:space="preserve"> х ∑Нi</t>
    </r>
    <r>
      <rPr>
        <vertAlign val="superscript"/>
        <sz val="11"/>
        <rFont val="Times New Roman"/>
        <family val="1"/>
      </rPr>
      <t>ТР</t>
    </r>
    <r>
      <rPr>
        <sz val="11"/>
        <rFont val="Times New Roman"/>
        <family val="1"/>
      </rPr>
      <t>/∑Нij)</t>
    </r>
  </si>
  <si>
    <t>Численность постоянного населения, проживающего в поселении, расположенном на территории, отнесенной к районам Крайнего Севера и приравненным к ним местностям с ограниченными сроками завоза грузов (продукции)</t>
  </si>
  <si>
    <r>
      <t>Нi</t>
    </r>
    <r>
      <rPr>
        <vertAlign val="superscript"/>
        <sz val="11"/>
        <rFont val="Times New Roman"/>
        <family val="1"/>
      </rPr>
      <t>ТР</t>
    </r>
  </si>
  <si>
    <t>1 + (9 х 11/числ)/1+(10 х итог 11/итог числен)</t>
  </si>
  <si>
    <r>
      <t>РКi +0,25 х (НССij/РНij)/РК +0,25 х (∑НССij/∑РНij) х (Кi</t>
    </r>
    <r>
      <rPr>
        <vertAlign val="superscript"/>
        <sz val="11"/>
        <rFont val="Times New Roman"/>
        <family val="1"/>
      </rPr>
      <t>ОТД</t>
    </r>
    <r>
      <rPr>
        <sz val="11"/>
        <rFont val="Times New Roman"/>
        <family val="1"/>
      </rPr>
      <t>/К</t>
    </r>
    <r>
      <rPr>
        <vertAlign val="superscript"/>
        <sz val="11"/>
        <rFont val="Times New Roman"/>
        <family val="1"/>
      </rPr>
      <t>ОТД</t>
    </r>
    <r>
      <rPr>
        <sz val="11"/>
        <rFont val="Times New Roman"/>
        <family val="1"/>
      </rPr>
      <t>)</t>
    </r>
  </si>
  <si>
    <r>
      <t>(∑ (Кi</t>
    </r>
    <r>
      <rPr>
        <vertAlign val="superscript"/>
        <sz val="11"/>
        <rFont val="Times New Roman"/>
        <family val="1"/>
      </rPr>
      <t>ОТД</t>
    </r>
    <r>
      <rPr>
        <sz val="11"/>
        <rFont val="Times New Roman"/>
        <family val="1"/>
      </rPr>
      <t xml:space="preserve"> х РНij))/∑РНij</t>
    </r>
  </si>
  <si>
    <t>Весовые коэффициенты А</t>
  </si>
  <si>
    <t>Весовые коэффициенты В</t>
  </si>
  <si>
    <r>
      <t>(Ri</t>
    </r>
    <r>
      <rPr>
        <vertAlign val="superscript"/>
        <sz val="11"/>
        <rFont val="Times New Roman"/>
        <family val="1"/>
      </rPr>
      <t>ЖКУ</t>
    </r>
    <r>
      <rPr>
        <sz val="11"/>
        <rFont val="Times New Roman"/>
        <family val="1"/>
      </rPr>
      <t xml:space="preserve"> +Ri</t>
    </r>
    <r>
      <rPr>
        <vertAlign val="superscript"/>
        <sz val="11"/>
        <rFont val="Times New Roman"/>
        <family val="1"/>
      </rPr>
      <t>КАП</t>
    </r>
    <r>
      <rPr>
        <sz val="11"/>
        <rFont val="Times New Roman"/>
        <family val="1"/>
      </rPr>
      <t>)/(R</t>
    </r>
    <r>
      <rPr>
        <vertAlign val="superscript"/>
        <sz val="11"/>
        <rFont val="Times New Roman"/>
        <family val="1"/>
      </rPr>
      <t>ЖКУ</t>
    </r>
    <r>
      <rPr>
        <sz val="11"/>
        <rFont val="Times New Roman"/>
        <family val="1"/>
      </rPr>
      <t xml:space="preserve"> +R</t>
    </r>
    <r>
      <rPr>
        <vertAlign val="superscript"/>
        <sz val="11"/>
        <rFont val="Times New Roman"/>
        <family val="1"/>
      </rPr>
      <t>КАП</t>
    </r>
    <r>
      <rPr>
        <sz val="11"/>
        <rFont val="Times New Roman"/>
        <family val="1"/>
      </rPr>
      <t>)</t>
    </r>
  </si>
  <si>
    <r>
      <t>Ri</t>
    </r>
    <r>
      <rPr>
        <vertAlign val="superscript"/>
        <sz val="11"/>
        <rFont val="Times New Roman"/>
        <family val="1"/>
      </rPr>
      <t>ЖКУ</t>
    </r>
  </si>
  <si>
    <r>
      <t>R</t>
    </r>
    <r>
      <rPr>
        <vertAlign val="superscript"/>
        <sz val="11"/>
        <rFont val="Times New Roman"/>
        <family val="1"/>
      </rPr>
      <t>ЖКУ</t>
    </r>
  </si>
  <si>
    <t>Постановление правительства РФ от 21.12.2011 № 1077 "О федеральных стандартах оплаты жилого помещения и коммунальных услуг на 2012-2014 годы"</t>
  </si>
  <si>
    <r>
      <t>Ri</t>
    </r>
    <r>
      <rPr>
        <vertAlign val="superscript"/>
        <sz val="11"/>
        <rFont val="Times New Roman"/>
        <family val="1"/>
      </rPr>
      <t>КАП</t>
    </r>
  </si>
  <si>
    <r>
      <t>R</t>
    </r>
    <r>
      <rPr>
        <vertAlign val="superscript"/>
        <sz val="11"/>
        <rFont val="Times New Roman"/>
        <family val="1"/>
      </rPr>
      <t>КАП</t>
    </r>
  </si>
  <si>
    <r>
      <t>Кi</t>
    </r>
    <r>
      <rPr>
        <vertAlign val="superscript"/>
        <sz val="11"/>
        <rFont val="Times New Roman"/>
        <family val="1"/>
      </rPr>
      <t>М</t>
    </r>
  </si>
  <si>
    <r>
      <t>Кi</t>
    </r>
    <r>
      <rPr>
        <vertAlign val="superscript"/>
        <sz val="11"/>
        <rFont val="Times New Roman"/>
        <family val="1"/>
      </rPr>
      <t>У</t>
    </r>
  </si>
  <si>
    <r>
      <t>Кi</t>
    </r>
    <r>
      <rPr>
        <vertAlign val="superscript"/>
        <sz val="11"/>
        <rFont val="Times New Roman"/>
        <family val="1"/>
      </rPr>
      <t>РАС</t>
    </r>
  </si>
  <si>
    <t>0,20 х ((∑РНij/N)/РНij))+0,80</t>
  </si>
  <si>
    <t>0,2 х (итог числен/12/числен поселен)+0,8</t>
  </si>
  <si>
    <t>(1+НГij/РНij)/(1+∑НГij/∑РНij)</t>
  </si>
  <si>
    <r>
      <t>(1+Нi</t>
    </r>
    <r>
      <rPr>
        <vertAlign val="superscript"/>
        <sz val="11"/>
        <rFont val="Times New Roman"/>
        <family val="1"/>
      </rPr>
      <t>500</t>
    </r>
    <r>
      <rPr>
        <sz val="11"/>
        <rFont val="Times New Roman"/>
        <family val="1"/>
      </rPr>
      <t xml:space="preserve"> /Нij) / (1+∑ Нi</t>
    </r>
    <r>
      <rPr>
        <vertAlign val="superscript"/>
        <sz val="11"/>
        <rFont val="Times New Roman"/>
        <family val="1"/>
      </rPr>
      <t>500</t>
    </r>
    <r>
      <rPr>
        <sz val="11"/>
        <rFont val="Times New Roman"/>
        <family val="1"/>
      </rPr>
      <t xml:space="preserve"> / ∑ Нij)</t>
    </r>
  </si>
  <si>
    <t>Численность постоянного населения, проживающего в населенных пунктах с численностью населения не более 500 чел.</t>
  </si>
  <si>
    <r>
      <t>Нi</t>
    </r>
    <r>
      <rPr>
        <vertAlign val="superscript"/>
        <sz val="11"/>
        <rFont val="Times New Roman"/>
        <family val="1"/>
      </rPr>
      <t>500</t>
    </r>
  </si>
  <si>
    <t>А1 х 4 + А2 х 8 + А3 х 12</t>
  </si>
  <si>
    <t>В1 х 18 + В2 х 19 +В3 х 20</t>
  </si>
  <si>
    <t>3 х 17 х 21</t>
  </si>
  <si>
    <t>(3 х 17 х итог числен)/ итог2</t>
  </si>
  <si>
    <t>ОПРЕДЕЛЕНИЕ ЧИСЛЕННОСТИ НАСЕЛЕНИЯ</t>
  </si>
  <si>
    <t>УСТАНАВЛИВАЮТСЯ РЕШЕНИЕМ ДУМЫ</t>
  </si>
  <si>
    <t>объем РФФПП</t>
  </si>
  <si>
    <r>
      <t>ПП/∑РНij х (БО</t>
    </r>
    <r>
      <rPr>
        <vertAlign val="superscript"/>
        <sz val="11"/>
        <rFont val="Times New Roman"/>
        <family val="1"/>
      </rPr>
      <t>max</t>
    </r>
    <r>
      <rPr>
        <sz val="11"/>
        <rFont val="Times New Roman"/>
        <family val="1"/>
      </rPr>
      <t xml:space="preserve"> - БОi </t>
    </r>
    <r>
      <rPr>
        <vertAlign val="superscript"/>
        <sz val="11"/>
        <rFont val="Times New Roman"/>
        <family val="1"/>
      </rPr>
      <t>+1</t>
    </r>
    <r>
      <rPr>
        <sz val="11"/>
        <rFont val="Times New Roman"/>
        <family val="1"/>
      </rPr>
      <t>) х ИБРi х РНij</t>
    </r>
  </si>
  <si>
    <t>Уровень бюджетной обеспеченности, до которого доводится уровень БО всех поселений муниципального района</t>
  </si>
  <si>
    <t>Уровень бюджетной обеспеченности i-го поселения с учетом дотации на выравнивание бюджетной обеспеченности из областного бюджета</t>
  </si>
  <si>
    <r>
      <t>ИБР</t>
    </r>
    <r>
      <rPr>
        <vertAlign val="subscript"/>
        <sz val="11"/>
        <rFont val="Times New Roman"/>
        <family val="1"/>
      </rPr>
      <t>i</t>
    </r>
  </si>
  <si>
    <t>Уровень бюджетной обеспеченности i-го поселения</t>
  </si>
  <si>
    <t>Порядковый номер поселения по росту уровня бюджетной обеспеченности с учетом дотации на выравнивание бюджетной обеспеченности поселений из областного бюджета</t>
  </si>
  <si>
    <t>k</t>
  </si>
  <si>
    <t>m</t>
  </si>
  <si>
    <t>Порядковый номер поселения по росту уровня бюджетной обеспеченности с учетом дотации на выравнивание бюджетной обеспеченности поселений из областного бюджета для которого выполняется условие</t>
  </si>
  <si>
    <r>
      <t>БО</t>
    </r>
    <r>
      <rPr>
        <vertAlign val="subscript"/>
        <sz val="11"/>
        <rFont val="Times New Roman"/>
        <family val="1"/>
      </rPr>
      <t>k</t>
    </r>
    <r>
      <rPr>
        <vertAlign val="superscript"/>
        <sz val="11"/>
        <rFont val="Times New Roman"/>
        <family val="1"/>
      </rPr>
      <t>+1</t>
    </r>
    <r>
      <rPr>
        <sz val="11"/>
        <rFont val="Times New Roman"/>
        <family val="1"/>
      </rPr>
      <t>&lt; БО</t>
    </r>
    <r>
      <rPr>
        <vertAlign val="superscript"/>
        <sz val="11"/>
        <rFont val="Times New Roman"/>
        <family val="1"/>
      </rPr>
      <t xml:space="preserve"> max</t>
    </r>
    <r>
      <rPr>
        <sz val="11"/>
        <rFont val="Times New Roman"/>
        <family val="1"/>
      </rPr>
      <t xml:space="preserve"> &lt; БО</t>
    </r>
    <r>
      <rPr>
        <vertAlign val="subscript"/>
        <sz val="11"/>
        <rFont val="Times New Roman"/>
        <family val="1"/>
      </rPr>
      <t>k+1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+1</t>
    </r>
  </si>
  <si>
    <t>9/8</t>
  </si>
  <si>
    <t>Размер дотации на выравнивание бюджетной обеспечнности поселений (а также объем налоговых доходов по дополнительным нормативам отчислений) i-му поселению из областного бюджета</t>
  </si>
  <si>
    <r>
      <t>Дi</t>
    </r>
    <r>
      <rPr>
        <vertAlign val="superscript"/>
        <sz val="11"/>
        <rFont val="Times New Roman"/>
        <family val="1"/>
      </rPr>
      <t>ОБЛ</t>
    </r>
  </si>
  <si>
    <r>
      <t>БОi + (Дi</t>
    </r>
    <r>
      <rPr>
        <vertAlign val="superscript"/>
        <sz val="11"/>
        <rFont val="Times New Roman"/>
        <family val="1"/>
      </rPr>
      <t>ОБЛ</t>
    </r>
    <r>
      <rPr>
        <sz val="11"/>
        <rFont val="Times New Roman"/>
        <family val="1"/>
      </rPr>
      <t>/(ПП/∑РНij х ИБРi х РНij))</t>
    </r>
  </si>
  <si>
    <t>7 + 6/(итог11/итог 10 х 8 х 10)</t>
  </si>
  <si>
    <t>наименование поселений</t>
  </si>
  <si>
    <r>
      <t>Постановление правительства РФ от 21.02.2013 № 146 "</t>
    </r>
    <r>
      <rPr>
        <sz val="11"/>
        <rFont val="Times New Roman"/>
        <family val="1"/>
      </rPr>
      <t>О федеральных стандартах оплаты жилого помещения и коммунальных услуг на 2013-2015 годы"</t>
    </r>
    <r>
      <rPr>
        <sz val="12"/>
        <rFont val="Times New Roman"/>
        <family val="1"/>
      </rPr>
      <t xml:space="preserve">
</t>
    </r>
  </si>
  <si>
    <t>В1(масштаб)</t>
  </si>
  <si>
    <t>А1 (з/плата)</t>
  </si>
  <si>
    <t>В2 (урбанизация)</t>
  </si>
  <si>
    <t>В3 (расселение)</t>
  </si>
  <si>
    <t>А2 (уровень цен, трансп. доступность))</t>
  </si>
  <si>
    <t>А3 (стоимость ЖКУ)</t>
  </si>
  <si>
    <r>
      <t xml:space="preserve">Дmin = 0,075 х (НД+ДВБОМР) + 0,20 х СППЭБР - НД </t>
    </r>
    <r>
      <rPr>
        <vertAlign val="superscript"/>
        <sz val="11"/>
        <rFont val="Times New Roman"/>
        <family val="1"/>
      </rPr>
      <t>ЕН</t>
    </r>
  </si>
  <si>
    <r>
      <t>(Дmin/(ПП/∑РНij) + ∑</t>
    </r>
    <r>
      <rPr>
        <vertAlign val="subscript"/>
        <sz val="11"/>
        <rFont val="Times New Roman"/>
        <family val="1"/>
      </rPr>
      <t>k=1</t>
    </r>
    <r>
      <rPr>
        <vertAlign val="superscript"/>
        <sz val="11"/>
        <rFont val="Times New Roman"/>
        <family val="1"/>
      </rPr>
      <t>m</t>
    </r>
    <r>
      <rPr>
        <sz val="11"/>
        <rFont val="Times New Roman"/>
        <family val="1"/>
      </rPr>
      <t>(БОk+1 х ИБРk х РНk)</t>
    </r>
  </si>
  <si>
    <r>
      <t xml:space="preserve"> ∑</t>
    </r>
    <r>
      <rPr>
        <vertAlign val="subscript"/>
        <sz val="11"/>
        <rFont val="Times New Roman"/>
        <family val="1"/>
      </rPr>
      <t>k=1</t>
    </r>
    <r>
      <rPr>
        <vertAlign val="superscript"/>
        <sz val="11"/>
        <rFont val="Times New Roman"/>
        <family val="1"/>
      </rPr>
      <t>m</t>
    </r>
    <r>
      <rPr>
        <sz val="11"/>
        <rFont val="Times New Roman"/>
        <family val="1"/>
      </rPr>
      <t>(БОk+1 х ИБРk х РНk)</t>
    </r>
  </si>
  <si>
    <r>
      <t>∑</t>
    </r>
    <r>
      <rPr>
        <vertAlign val="subscript"/>
        <sz val="11"/>
        <rFont val="Times New Roman"/>
        <family val="1"/>
      </rPr>
      <t>k=1</t>
    </r>
    <r>
      <rPr>
        <vertAlign val="superscript"/>
        <sz val="11"/>
        <rFont val="Times New Roman"/>
        <family val="1"/>
      </rPr>
      <t>m</t>
    </r>
    <r>
      <rPr>
        <sz val="11"/>
        <rFont val="Times New Roman"/>
        <family val="1"/>
      </rPr>
      <t>(ИБРk х РНk)</t>
    </r>
  </si>
  <si>
    <t>2.1</t>
  </si>
  <si>
    <t>2.2</t>
  </si>
  <si>
    <t>2.3</t>
  </si>
  <si>
    <t>РАСЧЕТ И РАСПРЕДЕЛЕНИЕ ДОТАЦИИ ИЗ РАЙОННОГО ФОНДА ФИНАНСОВОЙ ПОДДЕРЖКИ ПОСЕЛЕНИЙ НА 2015 ГОД</t>
  </si>
  <si>
    <t>Данные для расчета дотации на выравнивание бюджетной обеспеченности поселений из районного бюджета на 2015 год</t>
  </si>
  <si>
    <t>Расчеты произведены согласно Приложению  9 к Закону Иркутской области 22.10.2013 г. № 74-ОЗ "О межбюджетных трансфертах и нормативах отчислений доходов в местные бюджеты"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</si>
</sst>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#,##0_ ;[Red]\-#,##0\ 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vertAlign val="subscript"/>
      <sz val="11"/>
      <name val="Times New Roman"/>
      <family val="1"/>
    </font>
    <font>
      <sz val="10"/>
      <color indexed="10"/>
      <name val="Times New Roman"/>
      <family val="1"/>
    </font>
    <font>
      <vertAlign val="subscript"/>
      <sz val="1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9" fontId="8" fillId="0" borderId="14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/>
    </xf>
    <xf numFmtId="49" fontId="52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horizontal="right"/>
    </xf>
    <xf numFmtId="165" fontId="3" fillId="33" borderId="10" xfId="0" applyNumberFormat="1" applyFont="1" applyFill="1" applyBorder="1" applyAlignment="1">
      <alignment horizontal="right" vertical="center" wrapText="1"/>
    </xf>
    <xf numFmtId="166" fontId="3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>
      <alignment/>
    </xf>
    <xf numFmtId="49" fontId="4" fillId="33" borderId="10" xfId="33" applyNumberFormat="1" applyFont="1" applyFill="1" applyBorder="1" applyAlignment="1" applyProtection="1">
      <alignment horizontal="center"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3" fontId="4" fillId="33" borderId="14" xfId="33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3" fontId="4" fillId="33" borderId="10" xfId="33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7" fontId="4" fillId="0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5" fillId="0" borderId="0" xfId="0" applyFont="1" applyFill="1" applyAlignment="1">
      <alignment/>
    </xf>
    <xf numFmtId="2" fontId="4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166" fontId="4" fillId="33" borderId="10" xfId="0" applyNumberFormat="1" applyFont="1" applyFill="1" applyBorder="1" applyAlignment="1">
      <alignment/>
    </xf>
    <xf numFmtId="166" fontId="4" fillId="7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49" fontId="4" fillId="0" borderId="10" xfId="33" applyNumberFormat="1" applyFont="1" applyFill="1" applyBorder="1" applyAlignment="1" applyProtection="1">
      <alignment horizontal="center" vertical="center" wrapText="1"/>
      <protection/>
    </xf>
    <xf numFmtId="49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/>
    </xf>
    <xf numFmtId="3" fontId="4" fillId="0" borderId="10" xfId="33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68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168" fontId="4" fillId="0" borderId="10" xfId="53" applyNumberFormat="1" applyFont="1" applyFill="1" applyBorder="1" applyAlignment="1" applyProtection="1">
      <alignment horizontal="right" wrapText="1"/>
      <protection hidden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13" borderId="10" xfId="0" applyFont="1" applyFill="1" applyBorder="1" applyAlignment="1">
      <alignment horizontal="center" vertical="center" wrapText="1"/>
    </xf>
    <xf numFmtId="3" fontId="4" fillId="13" borderId="10" xfId="0" applyNumberFormat="1" applyFont="1" applyFill="1" applyBorder="1" applyAlignment="1">
      <alignment horizontal="right" vertical="center"/>
    </xf>
    <xf numFmtId="3" fontId="5" fillId="13" borderId="10" xfId="0" applyNumberFormat="1" applyFont="1" applyFill="1" applyBorder="1" applyAlignment="1">
      <alignment/>
    </xf>
    <xf numFmtId="0" fontId="5" fillId="13" borderId="10" xfId="0" applyFont="1" applyFill="1" applyBorder="1" applyAlignment="1">
      <alignment/>
    </xf>
    <xf numFmtId="4" fontId="8" fillId="0" borderId="14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8" fillId="0" borderId="20" xfId="0" applyNumberFormat="1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4" fontId="7" fillId="0" borderId="24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3" fontId="8" fillId="0" borderId="14" xfId="33" applyNumberFormat="1" applyFont="1" applyFill="1" applyBorder="1" applyAlignment="1" applyProtection="1">
      <alignment/>
      <protection/>
    </xf>
    <xf numFmtId="3" fontId="8" fillId="0" borderId="11" xfId="57" applyNumberFormat="1" applyFont="1" applyFill="1" applyBorder="1" applyAlignment="1">
      <alignment/>
      <protection/>
    </xf>
    <xf numFmtId="3" fontId="7" fillId="0" borderId="26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3" fontId="12" fillId="33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49" fontId="4" fillId="1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9" fontId="8" fillId="0" borderId="23" xfId="0" applyNumberFormat="1" applyFont="1" applyFill="1" applyBorder="1" applyAlignment="1">
      <alignment horizontal="center" vertical="center" wrapText="1"/>
    </xf>
    <xf numFmtId="9" fontId="8" fillId="0" borderId="17" xfId="0" applyNumberFormat="1" applyFont="1" applyFill="1" applyBorder="1" applyAlignment="1">
      <alignment horizontal="center" vertical="center" wrapText="1"/>
    </xf>
    <xf numFmtId="9" fontId="8" fillId="0" borderId="33" xfId="0" applyNumberFormat="1" applyFont="1" applyFill="1" applyBorder="1" applyAlignment="1">
      <alignment horizontal="center" vertical="center" wrapText="1"/>
    </xf>
    <xf numFmtId="9" fontId="8" fillId="0" borderId="34" xfId="0" applyNumberFormat="1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3" fontId="8" fillId="0" borderId="19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0" fontId="7" fillId="0" borderId="39" xfId="0" applyFont="1" applyFill="1" applyBorder="1" applyAlignment="1">
      <alignment/>
    </xf>
    <xf numFmtId="3" fontId="7" fillId="0" borderId="26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49" fontId="8" fillId="0" borderId="46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 wrapText="1"/>
    </xf>
    <xf numFmtId="49" fontId="8" fillId="0" borderId="4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3" fillId="0" borderId="42" xfId="0" applyFont="1" applyBorder="1" applyAlignment="1">
      <alignment horizontal="center"/>
    </xf>
    <xf numFmtId="0" fontId="4" fillId="13" borderId="17" xfId="0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164" fontId="4" fillId="13" borderId="18" xfId="0" applyNumberFormat="1" applyFont="1" applyFill="1" applyBorder="1" applyAlignment="1">
      <alignment horizontal="center" vertical="center"/>
    </xf>
    <xf numFmtId="164" fontId="4" fillId="13" borderId="57" xfId="0" applyNumberFormat="1" applyFont="1" applyFill="1" applyBorder="1" applyAlignment="1">
      <alignment horizontal="center" vertical="center"/>
    </xf>
    <xf numFmtId="164" fontId="4" fillId="13" borderId="54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57" xfId="0" applyNumberFormat="1" applyFont="1" applyFill="1" applyBorder="1" applyAlignment="1">
      <alignment horizontal="center" vertical="center"/>
    </xf>
    <xf numFmtId="3" fontId="3" fillId="33" borderId="54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57" xfId="0" applyNumberFormat="1" applyFont="1" applyFill="1" applyBorder="1" applyAlignment="1">
      <alignment horizontal="center" vertical="center"/>
    </xf>
    <xf numFmtId="2" fontId="4" fillId="0" borderId="5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67" fontId="4" fillId="33" borderId="18" xfId="0" applyNumberFormat="1" applyFont="1" applyFill="1" applyBorder="1" applyAlignment="1">
      <alignment horizontal="center" vertical="center" wrapText="1"/>
    </xf>
    <xf numFmtId="167" fontId="4" fillId="33" borderId="57" xfId="0" applyNumberFormat="1" applyFont="1" applyFill="1" applyBorder="1" applyAlignment="1">
      <alignment horizontal="center" vertical="center" wrapText="1"/>
    </xf>
    <xf numFmtId="167" fontId="4" fillId="33" borderId="5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49" fontId="4" fillId="0" borderId="18" xfId="33" applyNumberFormat="1" applyFont="1" applyFill="1" applyBorder="1" applyAlignment="1">
      <alignment horizontal="center" vertical="center" wrapText="1"/>
      <protection/>
    </xf>
    <xf numFmtId="49" fontId="4" fillId="0" borderId="54" xfId="33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Данные 2010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Лист1" xfId="64"/>
    <cellStyle name="Тысячи_Лист1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9"/>
  <sheetViews>
    <sheetView zoomScale="80" zoomScaleNormal="80" zoomScalePageLayoutView="0" workbookViewId="0" topLeftCell="A25">
      <pane xSplit="1" topLeftCell="B1" activePane="topRight" state="frozen"/>
      <selection pane="topLeft" activeCell="A1" sqref="A1"/>
      <selection pane="topRight" activeCell="E8" sqref="E8:I8"/>
    </sheetView>
  </sheetViews>
  <sheetFormatPr defaultColWidth="9.00390625" defaultRowHeight="12.75"/>
  <cols>
    <col min="1" max="1" width="18.375" style="141" customWidth="1"/>
    <col min="2" max="2" width="15.875" style="141" customWidth="1"/>
    <col min="3" max="3" width="16.375" style="141" customWidth="1"/>
    <col min="4" max="4" width="16.75390625" style="141" customWidth="1"/>
    <col min="5" max="5" width="17.625" style="141" customWidth="1"/>
    <col min="6" max="6" width="16.125" style="141" customWidth="1"/>
    <col min="7" max="7" width="15.875" style="141" customWidth="1"/>
    <col min="8" max="8" width="15.625" style="141" customWidth="1"/>
    <col min="9" max="9" width="17.875" style="141" customWidth="1"/>
    <col min="10" max="10" width="15.375" style="141" customWidth="1"/>
    <col min="11" max="11" width="14.25390625" style="141" customWidth="1"/>
    <col min="12" max="12" width="15.875" style="141" customWidth="1"/>
    <col min="13" max="13" width="17.75390625" style="141" customWidth="1"/>
    <col min="14" max="14" width="16.375" style="141" customWidth="1"/>
    <col min="15" max="15" width="14.75390625" style="141" customWidth="1"/>
    <col min="16" max="16" width="16.125" style="141" customWidth="1"/>
    <col min="17" max="17" width="15.875" style="141" customWidth="1"/>
    <col min="18" max="21" width="15.375" style="141" customWidth="1"/>
    <col min="22" max="22" width="15.75390625" style="141" customWidth="1"/>
    <col min="23" max="23" width="18.375" style="141" customWidth="1"/>
    <col min="24" max="24" width="17.625" style="141" customWidth="1"/>
    <col min="25" max="25" width="18.375" style="141" customWidth="1"/>
    <col min="26" max="26" width="15.75390625" style="141" customWidth="1"/>
    <col min="27" max="27" width="18.375" style="141" customWidth="1"/>
    <col min="28" max="28" width="15.75390625" style="141" customWidth="1"/>
    <col min="29" max="29" width="18.375" style="141" customWidth="1"/>
    <col min="30" max="30" width="24.375" style="141" customWidth="1"/>
    <col min="31" max="31" width="31.00390625" style="141" customWidth="1"/>
    <col min="32" max="33" width="30.75390625" style="141" customWidth="1"/>
    <col min="34" max="34" width="25.25390625" style="141" customWidth="1"/>
    <col min="35" max="35" width="25.00390625" style="141" customWidth="1"/>
    <col min="36" max="36" width="20.25390625" style="141" customWidth="1"/>
    <col min="37" max="37" width="21.25390625" style="141" customWidth="1"/>
    <col min="38" max="38" width="19.00390625" style="141" customWidth="1"/>
    <col min="39" max="16384" width="9.125" style="141" customWidth="1"/>
  </cols>
  <sheetData>
    <row r="2" spans="3:5" s="7" customFormat="1" ht="18" customHeight="1">
      <c r="C2" s="142" t="s">
        <v>289</v>
      </c>
      <c r="E2" s="4"/>
    </row>
    <row r="3" ht="16.5" thickBot="1"/>
    <row r="4" spans="1:38" ht="15.75">
      <c r="A4" s="141" t="s">
        <v>80</v>
      </c>
      <c r="B4" s="200">
        <v>1</v>
      </c>
      <c r="C4" s="201"/>
      <c r="D4" s="143">
        <v>2</v>
      </c>
      <c r="E4" s="200">
        <v>3</v>
      </c>
      <c r="F4" s="204"/>
      <c r="G4" s="204"/>
      <c r="H4" s="204"/>
      <c r="I4" s="201"/>
      <c r="J4" s="200">
        <v>4</v>
      </c>
      <c r="K4" s="204"/>
      <c r="L4" s="201"/>
      <c r="M4" s="200">
        <v>5</v>
      </c>
      <c r="N4" s="204"/>
      <c r="O4" s="201"/>
      <c r="P4" s="204">
        <v>6</v>
      </c>
      <c r="Q4" s="204"/>
      <c r="R4" s="204"/>
      <c r="S4" s="187" t="s">
        <v>153</v>
      </c>
      <c r="T4" s="221"/>
      <c r="U4" s="188"/>
      <c r="V4" s="204">
        <v>7</v>
      </c>
      <c r="W4" s="201"/>
      <c r="X4" s="200">
        <v>8</v>
      </c>
      <c r="Y4" s="201"/>
      <c r="Z4" s="200">
        <v>9</v>
      </c>
      <c r="AA4" s="201"/>
      <c r="AB4" s="187" t="s">
        <v>157</v>
      </c>
      <c r="AC4" s="188"/>
      <c r="AD4" s="144">
        <v>10</v>
      </c>
      <c r="AE4" s="144">
        <v>11</v>
      </c>
      <c r="AF4" s="145">
        <v>12</v>
      </c>
      <c r="AG4" s="146">
        <v>13</v>
      </c>
      <c r="AH4" s="200">
        <v>14</v>
      </c>
      <c r="AI4" s="201"/>
      <c r="AJ4" s="144">
        <v>15</v>
      </c>
      <c r="AK4" s="144">
        <v>16</v>
      </c>
      <c r="AL4" s="144">
        <v>17</v>
      </c>
    </row>
    <row r="5" spans="1:38" s="147" customFormat="1" ht="103.5" customHeight="1">
      <c r="A5" s="202"/>
      <c r="B5" s="209" t="s">
        <v>37</v>
      </c>
      <c r="C5" s="205" t="s">
        <v>76</v>
      </c>
      <c r="D5" s="220" t="s">
        <v>33</v>
      </c>
      <c r="E5" s="210" t="s">
        <v>69</v>
      </c>
      <c r="F5" s="211"/>
      <c r="G5" s="211"/>
      <c r="H5" s="211"/>
      <c r="I5" s="206"/>
      <c r="J5" s="210" t="s">
        <v>71</v>
      </c>
      <c r="K5" s="211"/>
      <c r="L5" s="206"/>
      <c r="M5" s="210" t="s">
        <v>107</v>
      </c>
      <c r="N5" s="211"/>
      <c r="O5" s="206"/>
      <c r="P5" s="180" t="s">
        <v>72</v>
      </c>
      <c r="Q5" s="180"/>
      <c r="R5" s="180"/>
      <c r="S5" s="194" t="s">
        <v>154</v>
      </c>
      <c r="T5" s="192"/>
      <c r="U5" s="193"/>
      <c r="V5" s="180" t="s">
        <v>70</v>
      </c>
      <c r="W5" s="181"/>
      <c r="X5" s="182" t="s">
        <v>109</v>
      </c>
      <c r="Y5" s="181"/>
      <c r="Z5" s="182" t="s">
        <v>110</v>
      </c>
      <c r="AA5" s="181"/>
      <c r="AB5" s="182" t="s">
        <v>110</v>
      </c>
      <c r="AC5" s="181"/>
      <c r="AD5" s="207" t="s">
        <v>73</v>
      </c>
      <c r="AE5" s="207" t="s">
        <v>91</v>
      </c>
      <c r="AF5" s="209" t="s">
        <v>74</v>
      </c>
      <c r="AG5" s="205" t="s">
        <v>45</v>
      </c>
      <c r="AH5" s="209" t="s">
        <v>75</v>
      </c>
      <c r="AI5" s="205" t="s">
        <v>46</v>
      </c>
      <c r="AJ5" s="207" t="s">
        <v>112</v>
      </c>
      <c r="AK5" s="207" t="s">
        <v>47</v>
      </c>
      <c r="AL5" s="207" t="s">
        <v>77</v>
      </c>
    </row>
    <row r="6" spans="1:38" s="147" customFormat="1" ht="156" customHeight="1">
      <c r="A6" s="203"/>
      <c r="B6" s="210"/>
      <c r="C6" s="206"/>
      <c r="D6" s="181"/>
      <c r="E6" s="148" t="s">
        <v>83</v>
      </c>
      <c r="F6" s="149" t="s">
        <v>84</v>
      </c>
      <c r="G6" s="149" t="s">
        <v>85</v>
      </c>
      <c r="H6" s="149" t="s">
        <v>4</v>
      </c>
      <c r="I6" s="150" t="s">
        <v>36</v>
      </c>
      <c r="J6" s="148" t="s">
        <v>84</v>
      </c>
      <c r="K6" s="149" t="s">
        <v>85</v>
      </c>
      <c r="L6" s="150" t="s">
        <v>4</v>
      </c>
      <c r="M6" s="148" t="s">
        <v>84</v>
      </c>
      <c r="N6" s="149" t="s">
        <v>85</v>
      </c>
      <c r="O6" s="150" t="s">
        <v>4</v>
      </c>
      <c r="P6" s="151" t="s">
        <v>84</v>
      </c>
      <c r="Q6" s="149" t="s">
        <v>85</v>
      </c>
      <c r="R6" s="149" t="s">
        <v>4</v>
      </c>
      <c r="S6" s="148" t="s">
        <v>84</v>
      </c>
      <c r="T6" s="149" t="s">
        <v>85</v>
      </c>
      <c r="U6" s="150" t="s">
        <v>4</v>
      </c>
      <c r="V6" s="151" t="s">
        <v>83</v>
      </c>
      <c r="W6" s="150" t="s">
        <v>36</v>
      </c>
      <c r="X6" s="148" t="s">
        <v>83</v>
      </c>
      <c r="Y6" s="150" t="s">
        <v>36</v>
      </c>
      <c r="Z6" s="148" t="s">
        <v>83</v>
      </c>
      <c r="AA6" s="150" t="s">
        <v>36</v>
      </c>
      <c r="AB6" s="148" t="s">
        <v>83</v>
      </c>
      <c r="AC6" s="150" t="s">
        <v>36</v>
      </c>
      <c r="AD6" s="208"/>
      <c r="AE6" s="208"/>
      <c r="AF6" s="210"/>
      <c r="AG6" s="206"/>
      <c r="AH6" s="210"/>
      <c r="AI6" s="206"/>
      <c r="AJ6" s="208"/>
      <c r="AK6" s="208"/>
      <c r="AL6" s="208"/>
    </row>
    <row r="7" spans="1:38" s="147" customFormat="1" ht="18.75" customHeight="1">
      <c r="A7" s="152"/>
      <c r="B7" s="148" t="s">
        <v>38</v>
      </c>
      <c r="C7" s="150"/>
      <c r="D7" s="28" t="s">
        <v>61</v>
      </c>
      <c r="E7" s="198" t="s">
        <v>62</v>
      </c>
      <c r="F7" s="196"/>
      <c r="G7" s="196"/>
      <c r="H7" s="196"/>
      <c r="I7" s="199"/>
      <c r="J7" s="190" t="s">
        <v>64</v>
      </c>
      <c r="K7" s="189"/>
      <c r="L7" s="191"/>
      <c r="M7" s="190" t="s">
        <v>65</v>
      </c>
      <c r="N7" s="189"/>
      <c r="O7" s="191"/>
      <c r="P7" s="189"/>
      <c r="Q7" s="189"/>
      <c r="R7" s="189"/>
      <c r="S7" s="190" t="s">
        <v>68</v>
      </c>
      <c r="T7" s="189"/>
      <c r="U7" s="191"/>
      <c r="V7" s="189" t="s">
        <v>66</v>
      </c>
      <c r="W7" s="191"/>
      <c r="X7" s="190" t="s">
        <v>67</v>
      </c>
      <c r="Y7" s="191"/>
      <c r="Z7" s="190"/>
      <c r="AA7" s="191"/>
      <c r="AB7" s="190" t="s">
        <v>68</v>
      </c>
      <c r="AC7" s="191"/>
      <c r="AD7" s="153" t="s">
        <v>44</v>
      </c>
      <c r="AE7" s="153" t="s">
        <v>89</v>
      </c>
      <c r="AF7" s="148" t="s">
        <v>92</v>
      </c>
      <c r="AG7" s="150" t="s">
        <v>94</v>
      </c>
      <c r="AH7" s="148" t="s">
        <v>93</v>
      </c>
      <c r="AI7" s="150" t="s">
        <v>95</v>
      </c>
      <c r="AJ7" s="153" t="s">
        <v>20</v>
      </c>
      <c r="AK7" s="153" t="s">
        <v>97</v>
      </c>
      <c r="AL7" s="153" t="s">
        <v>98</v>
      </c>
    </row>
    <row r="8" spans="1:38" s="147" customFormat="1" ht="103.5" customHeight="1">
      <c r="A8" s="152"/>
      <c r="B8" s="194" t="s">
        <v>105</v>
      </c>
      <c r="C8" s="193"/>
      <c r="D8" s="28" t="s">
        <v>115</v>
      </c>
      <c r="E8" s="198" t="s">
        <v>99</v>
      </c>
      <c r="F8" s="196"/>
      <c r="G8" s="196"/>
      <c r="H8" s="196"/>
      <c r="I8" s="199"/>
      <c r="J8" s="198" t="s">
        <v>100</v>
      </c>
      <c r="K8" s="196"/>
      <c r="L8" s="199"/>
      <c r="M8" s="198" t="s">
        <v>81</v>
      </c>
      <c r="N8" s="196"/>
      <c r="O8" s="199"/>
      <c r="P8" s="192" t="s">
        <v>108</v>
      </c>
      <c r="Q8" s="192"/>
      <c r="R8" s="192"/>
      <c r="S8" s="194" t="s">
        <v>108</v>
      </c>
      <c r="T8" s="192"/>
      <c r="U8" s="193"/>
      <c r="V8" s="192" t="s">
        <v>100</v>
      </c>
      <c r="W8" s="193"/>
      <c r="X8" s="194" t="s">
        <v>81</v>
      </c>
      <c r="Y8" s="193"/>
      <c r="Z8" s="194" t="s">
        <v>108</v>
      </c>
      <c r="AA8" s="193"/>
      <c r="AB8" s="194" t="s">
        <v>108</v>
      </c>
      <c r="AC8" s="193"/>
      <c r="AD8" s="213" t="s">
        <v>111</v>
      </c>
      <c r="AE8" s="213" t="s">
        <v>90</v>
      </c>
      <c r="AF8" s="215" t="s">
        <v>101</v>
      </c>
      <c r="AG8" s="216"/>
      <c r="AH8" s="198" t="s">
        <v>274</v>
      </c>
      <c r="AI8" s="199"/>
      <c r="AJ8" s="213" t="s">
        <v>96</v>
      </c>
      <c r="AK8" s="213" t="s">
        <v>96</v>
      </c>
      <c r="AL8" s="213"/>
    </row>
    <row r="9" spans="1:38" s="147" customFormat="1" ht="36" customHeight="1">
      <c r="A9" s="152"/>
      <c r="B9" s="194" t="s">
        <v>39</v>
      </c>
      <c r="C9" s="193"/>
      <c r="D9" s="28" t="s">
        <v>82</v>
      </c>
      <c r="E9" s="198" t="s">
        <v>118</v>
      </c>
      <c r="F9" s="196"/>
      <c r="G9" s="196"/>
      <c r="H9" s="196"/>
      <c r="I9" s="199"/>
      <c r="J9" s="198" t="s">
        <v>87</v>
      </c>
      <c r="K9" s="196"/>
      <c r="L9" s="199"/>
      <c r="M9" s="198" t="s">
        <v>87</v>
      </c>
      <c r="N9" s="196"/>
      <c r="O9" s="199"/>
      <c r="P9" s="195" t="s">
        <v>87</v>
      </c>
      <c r="Q9" s="196"/>
      <c r="R9" s="197"/>
      <c r="S9" s="190" t="s">
        <v>155</v>
      </c>
      <c r="T9" s="189"/>
      <c r="U9" s="191"/>
      <c r="V9" s="192" t="s">
        <v>88</v>
      </c>
      <c r="W9" s="193"/>
      <c r="X9" s="194" t="s">
        <v>88</v>
      </c>
      <c r="Y9" s="193"/>
      <c r="Z9" s="194" t="s">
        <v>88</v>
      </c>
      <c r="AA9" s="193"/>
      <c r="AB9" s="190" t="s">
        <v>156</v>
      </c>
      <c r="AC9" s="191"/>
      <c r="AD9" s="208"/>
      <c r="AE9" s="208"/>
      <c r="AF9" s="198" t="s">
        <v>106</v>
      </c>
      <c r="AG9" s="199"/>
      <c r="AH9" s="182" t="s">
        <v>106</v>
      </c>
      <c r="AI9" s="181"/>
      <c r="AJ9" s="208"/>
      <c r="AK9" s="208"/>
      <c r="AL9" s="208"/>
    </row>
    <row r="10" spans="1:38" s="147" customFormat="1" ht="18" customHeight="1">
      <c r="A10" s="152"/>
      <c r="B10" s="154"/>
      <c r="C10" s="28"/>
      <c r="D10" s="28"/>
      <c r="E10" s="25">
        <v>0.1</v>
      </c>
      <c r="F10" s="26">
        <v>0.9</v>
      </c>
      <c r="G10" s="26">
        <v>1</v>
      </c>
      <c r="H10" s="26">
        <v>1</v>
      </c>
      <c r="I10" s="27">
        <v>1</v>
      </c>
      <c r="J10" s="25">
        <v>0.9</v>
      </c>
      <c r="K10" s="26">
        <v>1</v>
      </c>
      <c r="L10" s="27">
        <v>1</v>
      </c>
      <c r="M10" s="25">
        <v>0.9</v>
      </c>
      <c r="N10" s="26">
        <v>1</v>
      </c>
      <c r="O10" s="27">
        <v>1</v>
      </c>
      <c r="P10" s="155">
        <v>0.9</v>
      </c>
      <c r="Q10" s="26">
        <v>1</v>
      </c>
      <c r="R10" s="156">
        <v>1</v>
      </c>
      <c r="S10" s="157"/>
      <c r="T10" s="158"/>
      <c r="U10" s="159"/>
      <c r="V10" s="155">
        <v>1</v>
      </c>
      <c r="W10" s="27">
        <v>1</v>
      </c>
      <c r="X10" s="25">
        <v>1</v>
      </c>
      <c r="Y10" s="27">
        <v>1</v>
      </c>
      <c r="Z10" s="25">
        <v>1</v>
      </c>
      <c r="AA10" s="27">
        <v>1</v>
      </c>
      <c r="AB10" s="25">
        <v>1</v>
      </c>
      <c r="AC10" s="27">
        <v>1</v>
      </c>
      <c r="AD10" s="160"/>
      <c r="AE10" s="160"/>
      <c r="AF10" s="148"/>
      <c r="AG10" s="150"/>
      <c r="AH10" s="161"/>
      <c r="AI10" s="162"/>
      <c r="AJ10" s="160"/>
      <c r="AK10" s="160"/>
      <c r="AL10" s="160"/>
    </row>
    <row r="11" spans="1:38" ht="15.75">
      <c r="A11" s="163" t="s">
        <v>5</v>
      </c>
      <c r="B11" s="132">
        <v>1641</v>
      </c>
      <c r="C11" s="133">
        <v>649</v>
      </c>
      <c r="D11" s="96">
        <v>1312200</v>
      </c>
      <c r="E11" s="121">
        <v>2694600</v>
      </c>
      <c r="F11" s="122">
        <v>0</v>
      </c>
      <c r="G11" s="122">
        <v>360000</v>
      </c>
      <c r="H11" s="122">
        <v>480000</v>
      </c>
      <c r="I11" s="123">
        <v>30000</v>
      </c>
      <c r="J11" s="124">
        <v>0</v>
      </c>
      <c r="K11" s="117">
        <v>30523</v>
      </c>
      <c r="L11" s="125">
        <v>387714</v>
      </c>
      <c r="M11" s="124">
        <v>0</v>
      </c>
      <c r="N11" s="117">
        <v>122292</v>
      </c>
      <c r="O11" s="125">
        <v>153563</v>
      </c>
      <c r="P11" s="116">
        <v>0</v>
      </c>
      <c r="Q11" s="126">
        <v>-3518</v>
      </c>
      <c r="R11" s="117">
        <v>68977</v>
      </c>
      <c r="S11" s="124">
        <f>SUM(P11/B11)</f>
        <v>0</v>
      </c>
      <c r="T11" s="117">
        <f>SUM(Q11/B11)</f>
        <v>-2.1438147471054236</v>
      </c>
      <c r="U11" s="125">
        <f>SUM(R11/B11)</f>
        <v>42.03351614868982</v>
      </c>
      <c r="V11" s="116">
        <v>7790404.5</v>
      </c>
      <c r="W11" s="117">
        <v>34000</v>
      </c>
      <c r="X11" s="117">
        <v>7769424.45102009</v>
      </c>
      <c r="Y11" s="117">
        <v>23250</v>
      </c>
      <c r="Z11" s="117">
        <v>3566948.7307273</v>
      </c>
      <c r="AA11" s="117">
        <v>9800</v>
      </c>
      <c r="AB11" s="117">
        <f>SUM(Z11/B11)</f>
        <v>2173.643345964229</v>
      </c>
      <c r="AC11" s="117">
        <f>SUM(AA11/C11)</f>
        <v>15.10015408320493</v>
      </c>
      <c r="AD11" s="114">
        <v>1.6</v>
      </c>
      <c r="AE11" s="114">
        <v>1</v>
      </c>
      <c r="AF11" s="110">
        <v>51.54</v>
      </c>
      <c r="AG11" s="112">
        <v>0</v>
      </c>
      <c r="AH11" s="214">
        <v>93.3</v>
      </c>
      <c r="AI11" s="212">
        <v>8.7</v>
      </c>
      <c r="AJ11" s="114">
        <v>0.8</v>
      </c>
      <c r="AK11" s="114">
        <v>0</v>
      </c>
      <c r="AL11" s="114"/>
    </row>
    <row r="12" spans="1:38" ht="15.75">
      <c r="A12" s="163" t="s">
        <v>6</v>
      </c>
      <c r="B12" s="132">
        <v>602</v>
      </c>
      <c r="C12" s="133">
        <v>602</v>
      </c>
      <c r="D12" s="96">
        <v>1190800</v>
      </c>
      <c r="E12" s="121">
        <v>121100</v>
      </c>
      <c r="F12" s="122">
        <v>6000</v>
      </c>
      <c r="G12" s="122">
        <v>24000</v>
      </c>
      <c r="H12" s="122">
        <v>214500</v>
      </c>
      <c r="I12" s="123">
        <v>0</v>
      </c>
      <c r="J12" s="124">
        <v>0</v>
      </c>
      <c r="K12" s="117">
        <v>1202</v>
      </c>
      <c r="L12" s="125">
        <v>33694</v>
      </c>
      <c r="M12" s="124">
        <v>0</v>
      </c>
      <c r="N12" s="117">
        <v>5082</v>
      </c>
      <c r="O12" s="125">
        <v>61018</v>
      </c>
      <c r="P12" s="116">
        <v>2916</v>
      </c>
      <c r="Q12" s="126">
        <v>0</v>
      </c>
      <c r="R12" s="117">
        <v>20175</v>
      </c>
      <c r="S12" s="124">
        <f aca="true" t="shared" si="0" ref="S12:S23">SUM(P12/B12)</f>
        <v>4.843853820598007</v>
      </c>
      <c r="T12" s="117">
        <f aca="true" t="shared" si="1" ref="T12:T23">SUM(Q12/B12)</f>
        <v>0</v>
      </c>
      <c r="U12" s="125">
        <f aca="true" t="shared" si="2" ref="U12:U23">SUM(R12/B12)</f>
        <v>33.51328903654485</v>
      </c>
      <c r="V12" s="116">
        <v>340835.014285714</v>
      </c>
      <c r="W12" s="117">
        <v>0</v>
      </c>
      <c r="X12" s="117">
        <v>373931.926491201</v>
      </c>
      <c r="Y12" s="117">
        <v>0</v>
      </c>
      <c r="Z12" s="117">
        <v>159685.999065566</v>
      </c>
      <c r="AA12" s="117">
        <v>0</v>
      </c>
      <c r="AB12" s="117">
        <f aca="true" t="shared" si="3" ref="AB12:AB23">SUM(Z12/B12)</f>
        <v>265.2591346604086</v>
      </c>
      <c r="AC12" s="117">
        <f aca="true" t="shared" si="4" ref="AC12:AC23">SUM(AA12/C12)</f>
        <v>0</v>
      </c>
      <c r="AD12" s="114">
        <v>1.6</v>
      </c>
      <c r="AE12" s="114">
        <v>1</v>
      </c>
      <c r="AF12" s="110">
        <v>46.52</v>
      </c>
      <c r="AG12" s="112">
        <v>0</v>
      </c>
      <c r="AH12" s="209"/>
      <c r="AI12" s="205"/>
      <c r="AJ12" s="114">
        <v>0.8</v>
      </c>
      <c r="AK12" s="114">
        <v>0</v>
      </c>
      <c r="AL12" s="114"/>
    </row>
    <row r="13" spans="1:38" ht="15.75">
      <c r="A13" s="163" t="s">
        <v>7</v>
      </c>
      <c r="B13" s="132">
        <v>314</v>
      </c>
      <c r="C13" s="133">
        <v>314</v>
      </c>
      <c r="D13" s="96">
        <v>687300</v>
      </c>
      <c r="E13" s="121">
        <v>302500</v>
      </c>
      <c r="F13" s="122">
        <v>0</v>
      </c>
      <c r="G13" s="122">
        <v>15000</v>
      </c>
      <c r="H13" s="122">
        <v>16500</v>
      </c>
      <c r="I13" s="123">
        <v>0</v>
      </c>
      <c r="J13" s="124">
        <v>0</v>
      </c>
      <c r="K13" s="117">
        <v>0</v>
      </c>
      <c r="L13" s="125">
        <v>11499</v>
      </c>
      <c r="M13" s="124">
        <v>0</v>
      </c>
      <c r="N13" s="117">
        <v>677</v>
      </c>
      <c r="O13" s="125">
        <v>10733</v>
      </c>
      <c r="P13" s="116">
        <v>0</v>
      </c>
      <c r="Q13" s="126">
        <v>0</v>
      </c>
      <c r="R13" s="117">
        <v>896</v>
      </c>
      <c r="S13" s="124">
        <f t="shared" si="0"/>
        <v>0</v>
      </c>
      <c r="T13" s="117">
        <f t="shared" si="1"/>
        <v>0</v>
      </c>
      <c r="U13" s="125">
        <f t="shared" si="2"/>
        <v>2.8535031847133756</v>
      </c>
      <c r="V13" s="116">
        <v>793683</v>
      </c>
      <c r="W13" s="117">
        <v>0</v>
      </c>
      <c r="X13" s="117">
        <v>863614.141099517</v>
      </c>
      <c r="Y13" s="117">
        <v>0</v>
      </c>
      <c r="Z13" s="117">
        <v>474676.031770752</v>
      </c>
      <c r="AA13" s="117">
        <v>0</v>
      </c>
      <c r="AB13" s="117">
        <f t="shared" si="3"/>
        <v>1511.7071075501656</v>
      </c>
      <c r="AC13" s="117">
        <f t="shared" si="4"/>
        <v>0</v>
      </c>
      <c r="AD13" s="114">
        <v>1.6</v>
      </c>
      <c r="AE13" s="114">
        <v>1</v>
      </c>
      <c r="AF13" s="110">
        <v>46.04</v>
      </c>
      <c r="AG13" s="112">
        <v>0</v>
      </c>
      <c r="AH13" s="209"/>
      <c r="AI13" s="205"/>
      <c r="AJ13" s="114">
        <v>0.8</v>
      </c>
      <c r="AK13" s="114">
        <v>0</v>
      </c>
      <c r="AL13" s="114"/>
    </row>
    <row r="14" spans="1:38" ht="15.75">
      <c r="A14" s="163" t="s">
        <v>8</v>
      </c>
      <c r="B14" s="132">
        <v>2937</v>
      </c>
      <c r="C14" s="133">
        <v>963</v>
      </c>
      <c r="D14" s="96">
        <v>169600</v>
      </c>
      <c r="E14" s="121">
        <v>7342500</v>
      </c>
      <c r="F14" s="122">
        <v>9000</v>
      </c>
      <c r="G14" s="122">
        <v>420000</v>
      </c>
      <c r="H14" s="122">
        <v>5940000</v>
      </c>
      <c r="I14" s="123">
        <v>9000</v>
      </c>
      <c r="J14" s="124">
        <v>0</v>
      </c>
      <c r="K14" s="117">
        <v>28432</v>
      </c>
      <c r="L14" s="125">
        <v>635407</v>
      </c>
      <c r="M14" s="124">
        <v>6006</v>
      </c>
      <c r="N14" s="117">
        <v>150546</v>
      </c>
      <c r="O14" s="125">
        <v>1783916</v>
      </c>
      <c r="P14" s="116">
        <v>6310</v>
      </c>
      <c r="Q14" s="126">
        <v>-4444</v>
      </c>
      <c r="R14" s="117">
        <v>1687189</v>
      </c>
      <c r="S14" s="124">
        <f t="shared" si="0"/>
        <v>2.1484508001361933</v>
      </c>
      <c r="T14" s="117">
        <f t="shared" si="1"/>
        <v>-1.5131086142322097</v>
      </c>
      <c r="U14" s="125">
        <f t="shared" si="2"/>
        <v>574.4599931903302</v>
      </c>
      <c r="V14" s="116">
        <v>21674713.9571429</v>
      </c>
      <c r="W14" s="117">
        <v>0</v>
      </c>
      <c r="X14" s="117">
        <v>20783108.9238436</v>
      </c>
      <c r="Y14" s="117">
        <v>0</v>
      </c>
      <c r="Z14" s="117">
        <v>12246965.0677465</v>
      </c>
      <c r="AA14" s="117">
        <v>1400</v>
      </c>
      <c r="AB14" s="117">
        <f t="shared" si="3"/>
        <v>4169.889365933435</v>
      </c>
      <c r="AC14" s="117">
        <f t="shared" si="4"/>
        <v>1.453790238836968</v>
      </c>
      <c r="AD14" s="114">
        <v>1.6</v>
      </c>
      <c r="AE14" s="114">
        <v>1</v>
      </c>
      <c r="AF14" s="110">
        <v>98.86</v>
      </c>
      <c r="AG14" s="112">
        <v>0.78</v>
      </c>
      <c r="AH14" s="209"/>
      <c r="AI14" s="205"/>
      <c r="AJ14" s="114">
        <v>0.8</v>
      </c>
      <c r="AK14" s="114">
        <v>0</v>
      </c>
      <c r="AL14" s="114"/>
    </row>
    <row r="15" spans="1:38" ht="15.75">
      <c r="A15" s="163" t="s">
        <v>9</v>
      </c>
      <c r="B15" s="132">
        <v>830</v>
      </c>
      <c r="C15" s="133">
        <v>830</v>
      </c>
      <c r="D15" s="96">
        <v>1605900</v>
      </c>
      <c r="E15" s="121">
        <v>977100</v>
      </c>
      <c r="F15" s="122">
        <v>300</v>
      </c>
      <c r="G15" s="122">
        <v>90000</v>
      </c>
      <c r="H15" s="122">
        <v>363000</v>
      </c>
      <c r="I15" s="123">
        <v>15000</v>
      </c>
      <c r="J15" s="124">
        <v>1336</v>
      </c>
      <c r="K15" s="117">
        <v>2852</v>
      </c>
      <c r="L15" s="125">
        <v>139068</v>
      </c>
      <c r="M15" s="124">
        <v>118</v>
      </c>
      <c r="N15" s="117">
        <v>43161</v>
      </c>
      <c r="O15" s="125">
        <v>129557</v>
      </c>
      <c r="P15" s="116">
        <v>90</v>
      </c>
      <c r="Q15" s="126">
        <v>-150</v>
      </c>
      <c r="R15" s="117">
        <v>-36587</v>
      </c>
      <c r="S15" s="124">
        <f t="shared" si="0"/>
        <v>0.10843373493975904</v>
      </c>
      <c r="T15" s="117">
        <f t="shared" si="1"/>
        <v>-0.18072289156626506</v>
      </c>
      <c r="U15" s="125">
        <f t="shared" si="2"/>
        <v>-44.08072289156627</v>
      </c>
      <c r="V15" s="116">
        <v>2054215.67142857</v>
      </c>
      <c r="W15" s="117">
        <v>0</v>
      </c>
      <c r="X15" s="117">
        <v>2514911.88288429</v>
      </c>
      <c r="Y15" s="117">
        <v>15800</v>
      </c>
      <c r="Z15" s="117">
        <v>1501652.9668276</v>
      </c>
      <c r="AA15" s="117">
        <v>0</v>
      </c>
      <c r="AB15" s="117">
        <f t="shared" si="3"/>
        <v>1809.2204419609639</v>
      </c>
      <c r="AC15" s="117">
        <f t="shared" si="4"/>
        <v>0</v>
      </c>
      <c r="AD15" s="114">
        <v>1.6</v>
      </c>
      <c r="AE15" s="114">
        <v>1</v>
      </c>
      <c r="AF15" s="110">
        <v>50.4</v>
      </c>
      <c r="AG15" s="112">
        <v>0.27</v>
      </c>
      <c r="AH15" s="209"/>
      <c r="AI15" s="205"/>
      <c r="AJ15" s="114">
        <v>0.8</v>
      </c>
      <c r="AK15" s="114">
        <v>0</v>
      </c>
      <c r="AL15" s="114"/>
    </row>
    <row r="16" spans="1:38" ht="15.75">
      <c r="A16" s="163" t="s">
        <v>10</v>
      </c>
      <c r="B16" s="132">
        <v>514</v>
      </c>
      <c r="C16" s="133">
        <v>514</v>
      </c>
      <c r="D16" s="96">
        <v>838500</v>
      </c>
      <c r="E16" s="121">
        <v>895800</v>
      </c>
      <c r="F16" s="122">
        <v>9600</v>
      </c>
      <c r="G16" s="122">
        <v>30000</v>
      </c>
      <c r="H16" s="122">
        <v>40500</v>
      </c>
      <c r="I16" s="123">
        <v>12000</v>
      </c>
      <c r="J16" s="124">
        <v>8516</v>
      </c>
      <c r="K16" s="117">
        <v>777</v>
      </c>
      <c r="L16" s="125">
        <v>14248</v>
      </c>
      <c r="M16" s="124">
        <v>8405</v>
      </c>
      <c r="N16" s="117">
        <v>8756</v>
      </c>
      <c r="O16" s="125">
        <v>14899</v>
      </c>
      <c r="P16" s="116">
        <v>11841</v>
      </c>
      <c r="Q16" s="126">
        <v>-275</v>
      </c>
      <c r="R16" s="117">
        <v>3442</v>
      </c>
      <c r="S16" s="124">
        <f t="shared" si="0"/>
        <v>23.03696498054475</v>
      </c>
      <c r="T16" s="117">
        <f t="shared" si="1"/>
        <v>-0.5350194552529183</v>
      </c>
      <c r="U16" s="125">
        <f t="shared" si="2"/>
        <v>6.696498054474708</v>
      </c>
      <c r="V16" s="116">
        <v>1551471.85714286</v>
      </c>
      <c r="W16" s="117">
        <v>15800</v>
      </c>
      <c r="X16" s="117">
        <v>2286078.07195141</v>
      </c>
      <c r="Y16" s="117">
        <v>12000</v>
      </c>
      <c r="Z16" s="117">
        <v>1179895.99750818</v>
      </c>
      <c r="AA16" s="117">
        <v>0</v>
      </c>
      <c r="AB16" s="117">
        <f t="shared" si="3"/>
        <v>2295.5175048797278</v>
      </c>
      <c r="AC16" s="117">
        <f t="shared" si="4"/>
        <v>0</v>
      </c>
      <c r="AD16" s="114">
        <v>1.6</v>
      </c>
      <c r="AE16" s="114">
        <v>1</v>
      </c>
      <c r="AF16" s="110">
        <v>46.55</v>
      </c>
      <c r="AG16" s="112">
        <v>0</v>
      </c>
      <c r="AH16" s="209"/>
      <c r="AI16" s="205"/>
      <c r="AJ16" s="114">
        <v>0.8</v>
      </c>
      <c r="AK16" s="114">
        <v>0</v>
      </c>
      <c r="AL16" s="114"/>
    </row>
    <row r="17" spans="1:38" ht="15.75">
      <c r="A17" s="163" t="s">
        <v>11</v>
      </c>
      <c r="B17" s="132">
        <v>753</v>
      </c>
      <c r="C17" s="133">
        <v>112</v>
      </c>
      <c r="D17" s="96">
        <v>639500</v>
      </c>
      <c r="E17" s="121">
        <v>1208800</v>
      </c>
      <c r="F17" s="122">
        <v>0</v>
      </c>
      <c r="G17" s="122">
        <v>129000</v>
      </c>
      <c r="H17" s="122">
        <v>735000</v>
      </c>
      <c r="I17" s="123">
        <v>0</v>
      </c>
      <c r="J17" s="124">
        <v>0</v>
      </c>
      <c r="K17" s="117">
        <v>5232</v>
      </c>
      <c r="L17" s="125">
        <v>175352</v>
      </c>
      <c r="M17" s="124">
        <v>0</v>
      </c>
      <c r="N17" s="117">
        <v>41352</v>
      </c>
      <c r="O17" s="125">
        <v>173378</v>
      </c>
      <c r="P17" s="116">
        <v>0</v>
      </c>
      <c r="Q17" s="126">
        <v>-259</v>
      </c>
      <c r="R17" s="117">
        <v>183637</v>
      </c>
      <c r="S17" s="124">
        <f t="shared" si="0"/>
        <v>0</v>
      </c>
      <c r="T17" s="117">
        <f t="shared" si="1"/>
        <v>-0.34395750332005315</v>
      </c>
      <c r="U17" s="125">
        <f t="shared" si="2"/>
        <v>243.8738379814077</v>
      </c>
      <c r="V17" s="116">
        <v>3131337.8</v>
      </c>
      <c r="W17" s="117">
        <v>0</v>
      </c>
      <c r="X17" s="117">
        <v>3236390.95156518</v>
      </c>
      <c r="Y17" s="117">
        <v>0</v>
      </c>
      <c r="Z17" s="117">
        <v>1470097.04095935</v>
      </c>
      <c r="AA17" s="117">
        <v>0</v>
      </c>
      <c r="AB17" s="117">
        <f t="shared" si="3"/>
        <v>1952.3201075157372</v>
      </c>
      <c r="AC17" s="117">
        <f t="shared" si="4"/>
        <v>0</v>
      </c>
      <c r="AD17" s="114">
        <v>1.6</v>
      </c>
      <c r="AE17" s="114">
        <v>1</v>
      </c>
      <c r="AF17" s="110">
        <v>53.13</v>
      </c>
      <c r="AG17" s="112">
        <v>0</v>
      </c>
      <c r="AH17" s="209"/>
      <c r="AI17" s="205"/>
      <c r="AJ17" s="114">
        <v>0.8</v>
      </c>
      <c r="AK17" s="114">
        <v>0</v>
      </c>
      <c r="AL17" s="114"/>
    </row>
    <row r="18" spans="1:38" ht="15.75">
      <c r="A18" s="163" t="s">
        <v>13</v>
      </c>
      <c r="B18" s="132">
        <v>1455</v>
      </c>
      <c r="C18" s="133">
        <v>146</v>
      </c>
      <c r="D18" s="96">
        <v>84000</v>
      </c>
      <c r="E18" s="121">
        <v>7418100</v>
      </c>
      <c r="F18" s="122">
        <v>24600</v>
      </c>
      <c r="G18" s="122">
        <v>360000</v>
      </c>
      <c r="H18" s="122">
        <v>540000</v>
      </c>
      <c r="I18" s="123">
        <v>0</v>
      </c>
      <c r="J18" s="124">
        <v>15097</v>
      </c>
      <c r="K18" s="117">
        <v>11920</v>
      </c>
      <c r="L18" s="125">
        <v>92820</v>
      </c>
      <c r="M18" s="124">
        <v>32245</v>
      </c>
      <c r="N18" s="117">
        <v>119352</v>
      </c>
      <c r="O18" s="125">
        <v>185934</v>
      </c>
      <c r="P18" s="116">
        <v>15966</v>
      </c>
      <c r="Q18" s="126">
        <v>-1010</v>
      </c>
      <c r="R18" s="117">
        <v>116668</v>
      </c>
      <c r="S18" s="124">
        <f t="shared" si="0"/>
        <v>10.97319587628866</v>
      </c>
      <c r="T18" s="117">
        <f t="shared" si="1"/>
        <v>-0.6941580756013745</v>
      </c>
      <c r="U18" s="125">
        <f t="shared" si="2"/>
        <v>80.18419243986254</v>
      </c>
      <c r="V18" s="116">
        <v>15121992.0571429</v>
      </c>
      <c r="W18" s="117">
        <v>0</v>
      </c>
      <c r="X18" s="117">
        <v>22200224.1239682</v>
      </c>
      <c r="Y18" s="117">
        <v>0</v>
      </c>
      <c r="Z18" s="117">
        <v>9930881.34247002</v>
      </c>
      <c r="AA18" s="117">
        <v>0</v>
      </c>
      <c r="AB18" s="117">
        <f t="shared" si="3"/>
        <v>6825.348001697608</v>
      </c>
      <c r="AC18" s="117">
        <f t="shared" si="4"/>
        <v>0</v>
      </c>
      <c r="AD18" s="114">
        <v>1.6</v>
      </c>
      <c r="AE18" s="114">
        <v>1</v>
      </c>
      <c r="AF18" s="110">
        <v>39.15</v>
      </c>
      <c r="AG18" s="112">
        <v>0.05</v>
      </c>
      <c r="AH18" s="209"/>
      <c r="AI18" s="205"/>
      <c r="AJ18" s="114">
        <v>0.8</v>
      </c>
      <c r="AK18" s="114">
        <v>0</v>
      </c>
      <c r="AL18" s="114"/>
    </row>
    <row r="19" spans="1:38" ht="15.75">
      <c r="A19" s="163" t="s">
        <v>12</v>
      </c>
      <c r="B19" s="132">
        <v>1786</v>
      </c>
      <c r="C19" s="133">
        <v>1021</v>
      </c>
      <c r="D19" s="96">
        <v>103100</v>
      </c>
      <c r="E19" s="121">
        <v>11629900</v>
      </c>
      <c r="F19" s="122">
        <v>45000</v>
      </c>
      <c r="G19" s="122">
        <v>300000</v>
      </c>
      <c r="H19" s="122">
        <v>3720000</v>
      </c>
      <c r="I19" s="123">
        <v>0</v>
      </c>
      <c r="J19" s="124">
        <v>0</v>
      </c>
      <c r="K19" s="117">
        <v>11615</v>
      </c>
      <c r="L19" s="125">
        <v>711236</v>
      </c>
      <c r="M19" s="124">
        <v>1761</v>
      </c>
      <c r="N19" s="117">
        <v>132434</v>
      </c>
      <c r="O19" s="125">
        <v>1019124</v>
      </c>
      <c r="P19" s="116">
        <v>241766</v>
      </c>
      <c r="Q19" s="126">
        <v>-4096</v>
      </c>
      <c r="R19" s="117">
        <v>768435</v>
      </c>
      <c r="S19" s="124">
        <f t="shared" si="0"/>
        <v>135.3673012318029</v>
      </c>
      <c r="T19" s="117">
        <f t="shared" si="1"/>
        <v>-2.2933930571108623</v>
      </c>
      <c r="U19" s="125">
        <f t="shared" si="2"/>
        <v>430.25475923852184</v>
      </c>
      <c r="V19" s="116">
        <v>30009518.6428571</v>
      </c>
      <c r="W19" s="117">
        <v>0</v>
      </c>
      <c r="X19" s="117">
        <v>37991737.455225</v>
      </c>
      <c r="Y19" s="117">
        <v>0</v>
      </c>
      <c r="Z19" s="117">
        <v>14234443.1708457</v>
      </c>
      <c r="AA19" s="117">
        <v>0</v>
      </c>
      <c r="AB19" s="117">
        <f t="shared" si="3"/>
        <v>7970.012973597816</v>
      </c>
      <c r="AC19" s="117">
        <f t="shared" si="4"/>
        <v>0</v>
      </c>
      <c r="AD19" s="114">
        <v>1.6</v>
      </c>
      <c r="AE19" s="114">
        <v>1</v>
      </c>
      <c r="AF19" s="110">
        <v>50.24</v>
      </c>
      <c r="AG19" s="112">
        <v>1.23</v>
      </c>
      <c r="AH19" s="209"/>
      <c r="AI19" s="205"/>
      <c r="AJ19" s="114">
        <v>0.8</v>
      </c>
      <c r="AK19" s="114">
        <v>0</v>
      </c>
      <c r="AL19" s="114"/>
    </row>
    <row r="20" spans="1:38" ht="15.75">
      <c r="A20" s="163" t="s">
        <v>14</v>
      </c>
      <c r="B20" s="132">
        <v>541</v>
      </c>
      <c r="C20" s="133">
        <v>541</v>
      </c>
      <c r="D20" s="96">
        <v>960500</v>
      </c>
      <c r="E20" s="121">
        <v>589500</v>
      </c>
      <c r="F20" s="122">
        <v>45000</v>
      </c>
      <c r="G20" s="122">
        <v>90000</v>
      </c>
      <c r="H20" s="122">
        <v>75000</v>
      </c>
      <c r="I20" s="123">
        <v>7000</v>
      </c>
      <c r="J20" s="124">
        <v>6680</v>
      </c>
      <c r="K20" s="117">
        <v>8584</v>
      </c>
      <c r="L20" s="125">
        <v>13263</v>
      </c>
      <c r="M20" s="124">
        <v>38802</v>
      </c>
      <c r="N20" s="117">
        <v>24627</v>
      </c>
      <c r="O20" s="125">
        <v>13307</v>
      </c>
      <c r="P20" s="116">
        <v>48137</v>
      </c>
      <c r="Q20" s="126">
        <v>0</v>
      </c>
      <c r="R20" s="117">
        <v>10864</v>
      </c>
      <c r="S20" s="124">
        <f t="shared" si="0"/>
        <v>88.97781885397413</v>
      </c>
      <c r="T20" s="117">
        <f t="shared" si="1"/>
        <v>0</v>
      </c>
      <c r="U20" s="125">
        <f t="shared" si="2"/>
        <v>20.08133086876155</v>
      </c>
      <c r="V20" s="116">
        <v>1129261.65714286</v>
      </c>
      <c r="W20" s="117">
        <v>9820</v>
      </c>
      <c r="X20" s="117">
        <v>1538573.1505996</v>
      </c>
      <c r="Y20" s="117">
        <v>7620</v>
      </c>
      <c r="Z20" s="117">
        <v>920205.450864352</v>
      </c>
      <c r="AA20" s="117">
        <v>7020</v>
      </c>
      <c r="AB20" s="117">
        <f t="shared" si="3"/>
        <v>1700.9342899525916</v>
      </c>
      <c r="AC20" s="117">
        <f t="shared" si="4"/>
        <v>12.975970425138632</v>
      </c>
      <c r="AD20" s="114">
        <v>1.6</v>
      </c>
      <c r="AE20" s="114">
        <v>1</v>
      </c>
      <c r="AF20" s="110">
        <v>51</v>
      </c>
      <c r="AG20" s="112">
        <v>0</v>
      </c>
      <c r="AH20" s="209"/>
      <c r="AI20" s="205"/>
      <c r="AJ20" s="114">
        <v>0.8</v>
      </c>
      <c r="AK20" s="114">
        <v>0</v>
      </c>
      <c r="AL20" s="114"/>
    </row>
    <row r="21" spans="1:38" ht="15.75">
      <c r="A21" s="163" t="s">
        <v>15</v>
      </c>
      <c r="B21" s="132">
        <v>1782</v>
      </c>
      <c r="C21" s="133">
        <v>338</v>
      </c>
      <c r="D21" s="96">
        <v>1127200</v>
      </c>
      <c r="E21" s="121">
        <v>1883300</v>
      </c>
      <c r="F21" s="122">
        <v>10500</v>
      </c>
      <c r="G21" s="122">
        <v>180000</v>
      </c>
      <c r="H21" s="122">
        <v>1470000</v>
      </c>
      <c r="I21" s="123">
        <v>0</v>
      </c>
      <c r="J21" s="124">
        <v>6228</v>
      </c>
      <c r="K21" s="117">
        <v>3432</v>
      </c>
      <c r="L21" s="125">
        <v>186015</v>
      </c>
      <c r="M21" s="124">
        <v>11132</v>
      </c>
      <c r="N21" s="117">
        <v>60832</v>
      </c>
      <c r="O21" s="125">
        <v>636732</v>
      </c>
      <c r="P21" s="116">
        <v>7815</v>
      </c>
      <c r="Q21" s="126">
        <v>-1409</v>
      </c>
      <c r="R21" s="117">
        <v>528964</v>
      </c>
      <c r="S21" s="124">
        <f t="shared" si="0"/>
        <v>4.385521885521886</v>
      </c>
      <c r="T21" s="117">
        <f t="shared" si="1"/>
        <v>-0.7906846240179574</v>
      </c>
      <c r="U21" s="125">
        <f t="shared" si="2"/>
        <v>296.8372615039282</v>
      </c>
      <c r="V21" s="116">
        <v>4243565.48571429</v>
      </c>
      <c r="W21" s="117">
        <v>0</v>
      </c>
      <c r="X21" s="117">
        <v>4980443.26428905</v>
      </c>
      <c r="Y21" s="117">
        <v>0</v>
      </c>
      <c r="Z21" s="117">
        <v>2840368.01121321</v>
      </c>
      <c r="AA21" s="117">
        <v>0</v>
      </c>
      <c r="AB21" s="117">
        <f t="shared" si="3"/>
        <v>1593.9214428805892</v>
      </c>
      <c r="AC21" s="117">
        <f t="shared" si="4"/>
        <v>0</v>
      </c>
      <c r="AD21" s="114">
        <v>1.6</v>
      </c>
      <c r="AE21" s="114">
        <v>1</v>
      </c>
      <c r="AF21" s="110">
        <v>34.75</v>
      </c>
      <c r="AG21" s="112">
        <v>0</v>
      </c>
      <c r="AH21" s="209"/>
      <c r="AI21" s="205"/>
      <c r="AJ21" s="114">
        <v>0.8</v>
      </c>
      <c r="AK21" s="114">
        <v>0</v>
      </c>
      <c r="AL21" s="114"/>
    </row>
    <row r="22" spans="1:38" ht="16.5" thickBot="1">
      <c r="A22" s="164" t="s">
        <v>16</v>
      </c>
      <c r="B22" s="132">
        <v>705</v>
      </c>
      <c r="C22" s="133">
        <v>705</v>
      </c>
      <c r="D22" s="96">
        <v>1035000</v>
      </c>
      <c r="E22" s="127">
        <v>238700</v>
      </c>
      <c r="F22" s="128">
        <v>0</v>
      </c>
      <c r="G22" s="128">
        <v>165000</v>
      </c>
      <c r="H22" s="128">
        <v>627000</v>
      </c>
      <c r="I22" s="129">
        <v>0</v>
      </c>
      <c r="J22" s="124">
        <v>0</v>
      </c>
      <c r="K22" s="117">
        <v>19147</v>
      </c>
      <c r="L22" s="125">
        <v>128565</v>
      </c>
      <c r="M22" s="124">
        <v>0</v>
      </c>
      <c r="N22" s="117">
        <v>67467</v>
      </c>
      <c r="O22" s="125">
        <v>341987</v>
      </c>
      <c r="P22" s="116">
        <v>0</v>
      </c>
      <c r="Q22" s="126">
        <v>-196</v>
      </c>
      <c r="R22" s="117">
        <v>72029</v>
      </c>
      <c r="S22" s="165">
        <f t="shared" si="0"/>
        <v>0</v>
      </c>
      <c r="T22" s="166">
        <f t="shared" si="1"/>
        <v>-0.27801418439716313</v>
      </c>
      <c r="U22" s="167">
        <f t="shared" si="2"/>
        <v>102.16879432624114</v>
      </c>
      <c r="V22" s="116">
        <v>810905.357142857</v>
      </c>
      <c r="W22" s="117">
        <v>0</v>
      </c>
      <c r="X22" s="117">
        <v>817041.940507709</v>
      </c>
      <c r="Y22" s="117">
        <v>0</v>
      </c>
      <c r="Z22" s="117">
        <v>316896.013082074</v>
      </c>
      <c r="AA22" s="117">
        <v>0</v>
      </c>
      <c r="AB22" s="166">
        <f t="shared" si="3"/>
        <v>449.4978908965589</v>
      </c>
      <c r="AC22" s="166">
        <f t="shared" si="4"/>
        <v>0</v>
      </c>
      <c r="AD22" s="115">
        <v>1.6</v>
      </c>
      <c r="AE22" s="115">
        <v>1</v>
      </c>
      <c r="AF22" s="111">
        <v>48.1</v>
      </c>
      <c r="AG22" s="113">
        <v>0</v>
      </c>
      <c r="AH22" s="209"/>
      <c r="AI22" s="205"/>
      <c r="AJ22" s="115">
        <v>0.8</v>
      </c>
      <c r="AK22" s="114">
        <v>0</v>
      </c>
      <c r="AL22" s="115"/>
    </row>
    <row r="23" spans="1:38" s="175" customFormat="1" ht="16.5" thickBot="1">
      <c r="A23" s="168" t="s">
        <v>2</v>
      </c>
      <c r="B23" s="134">
        <f>SUM(B11:B22)</f>
        <v>13860</v>
      </c>
      <c r="C23" s="135">
        <f>SUM(C11:C22)</f>
        <v>6735</v>
      </c>
      <c r="D23" s="29">
        <f>SUM(D11:D22)</f>
        <v>9753600</v>
      </c>
      <c r="E23" s="120">
        <f>SUM(E11:E22)</f>
        <v>35301900</v>
      </c>
      <c r="F23" s="120">
        <f>SUM(F11:F22)</f>
        <v>150000</v>
      </c>
      <c r="G23" s="130">
        <f>SUM(G11:G22)</f>
        <v>2163000</v>
      </c>
      <c r="H23" s="130">
        <f aca="true" t="shared" si="5" ref="H23:X23">SUM(H11:H22)</f>
        <v>14221500</v>
      </c>
      <c r="I23" s="119">
        <f t="shared" si="5"/>
        <v>73000</v>
      </c>
      <c r="J23" s="120">
        <f t="shared" si="5"/>
        <v>37857</v>
      </c>
      <c r="K23" s="130">
        <f t="shared" si="5"/>
        <v>123716</v>
      </c>
      <c r="L23" s="119">
        <f t="shared" si="5"/>
        <v>2528881</v>
      </c>
      <c r="M23" s="120">
        <f t="shared" si="5"/>
        <v>98469</v>
      </c>
      <c r="N23" s="130">
        <f t="shared" si="5"/>
        <v>776578</v>
      </c>
      <c r="O23" s="119">
        <f t="shared" si="5"/>
        <v>4524148</v>
      </c>
      <c r="P23" s="118">
        <f t="shared" si="5"/>
        <v>334841</v>
      </c>
      <c r="Q23" s="130">
        <f t="shared" si="5"/>
        <v>-15357</v>
      </c>
      <c r="R23" s="131">
        <f t="shared" si="5"/>
        <v>3424689</v>
      </c>
      <c r="S23" s="169">
        <f t="shared" si="0"/>
        <v>24.158802308802308</v>
      </c>
      <c r="T23" s="170">
        <f t="shared" si="1"/>
        <v>-1.108008658008658</v>
      </c>
      <c r="U23" s="171">
        <f t="shared" si="2"/>
        <v>247.09155844155845</v>
      </c>
      <c r="V23" s="118">
        <f t="shared" si="5"/>
        <v>88651905.00000004</v>
      </c>
      <c r="W23" s="119">
        <f t="shared" si="5"/>
        <v>59620</v>
      </c>
      <c r="X23" s="120">
        <f t="shared" si="5"/>
        <v>105355480.28344485</v>
      </c>
      <c r="Y23" s="119">
        <f>SUM(Y11:Y22)</f>
        <v>58670</v>
      </c>
      <c r="Z23" s="120">
        <f>SUM(Z11:Z22)</f>
        <v>48842715.82308061</v>
      </c>
      <c r="AA23" s="119">
        <f>SUM(AA11:AA22)</f>
        <v>18220</v>
      </c>
      <c r="AB23" s="169">
        <f t="shared" si="3"/>
        <v>3524.0054706407363</v>
      </c>
      <c r="AC23" s="171">
        <f t="shared" si="4"/>
        <v>2.705270972531552</v>
      </c>
      <c r="AD23" s="172"/>
      <c r="AE23" s="172"/>
      <c r="AF23" s="173"/>
      <c r="AG23" s="174"/>
      <c r="AH23" s="173"/>
      <c r="AI23" s="174"/>
      <c r="AJ23" s="172"/>
      <c r="AK23" s="172"/>
      <c r="AL23" s="172"/>
    </row>
    <row r="26" spans="2:8" ht="18.75">
      <c r="B26" s="217" t="s">
        <v>113</v>
      </c>
      <c r="C26" s="217"/>
      <c r="D26" s="217"/>
      <c r="E26" s="217"/>
      <c r="F26" s="217"/>
      <c r="G26" s="217"/>
      <c r="H26" s="217"/>
    </row>
    <row r="27" ht="16.5" thickBot="1"/>
    <row r="28" spans="2:17" ht="31.5">
      <c r="B28" s="185" t="s">
        <v>28</v>
      </c>
      <c r="C28" s="186"/>
      <c r="D28" s="176" t="s">
        <v>55</v>
      </c>
      <c r="E28" s="177" t="s">
        <v>114</v>
      </c>
      <c r="F28" s="178" t="s">
        <v>53</v>
      </c>
      <c r="G28" s="177" t="s">
        <v>54</v>
      </c>
      <c r="H28" s="179" t="s">
        <v>86</v>
      </c>
      <c r="Q28" s="42"/>
    </row>
    <row r="29" spans="2:17" ht="121.5" customHeight="1">
      <c r="B29" s="218" t="s">
        <v>56</v>
      </c>
      <c r="C29" s="219"/>
      <c r="D29" s="13" t="s">
        <v>57</v>
      </c>
      <c r="E29" s="14" t="s">
        <v>106</v>
      </c>
      <c r="F29" s="15" t="s">
        <v>29</v>
      </c>
      <c r="G29" s="16" t="s">
        <v>58</v>
      </c>
      <c r="H29" s="17">
        <v>37846100</v>
      </c>
      <c r="Q29" s="42"/>
    </row>
    <row r="30" spans="2:17" ht="108" customHeight="1">
      <c r="B30" s="218" t="s">
        <v>27</v>
      </c>
      <c r="C30" s="219"/>
      <c r="D30" s="13" t="s">
        <v>59</v>
      </c>
      <c r="E30" s="14" t="s">
        <v>106</v>
      </c>
      <c r="F30" s="15" t="s">
        <v>60</v>
      </c>
      <c r="G30" s="16" t="s">
        <v>58</v>
      </c>
      <c r="H30" s="17">
        <v>24403900</v>
      </c>
      <c r="Q30" s="42"/>
    </row>
    <row r="31" spans="2:17" ht="138" customHeight="1">
      <c r="B31" s="218" t="s">
        <v>116</v>
      </c>
      <c r="C31" s="219"/>
      <c r="D31" s="13" t="s">
        <v>117</v>
      </c>
      <c r="E31" s="14" t="s">
        <v>115</v>
      </c>
      <c r="F31" s="30" t="s">
        <v>60</v>
      </c>
      <c r="G31" s="16" t="s">
        <v>58</v>
      </c>
      <c r="H31" s="17"/>
      <c r="Q31" s="42"/>
    </row>
    <row r="32" spans="2:17" ht="136.5" customHeight="1" thickBot="1">
      <c r="B32" s="183" t="s">
        <v>26</v>
      </c>
      <c r="C32" s="184"/>
      <c r="D32" s="18" t="s">
        <v>63</v>
      </c>
      <c r="E32" s="19" t="s">
        <v>106</v>
      </c>
      <c r="F32" s="20" t="s">
        <v>29</v>
      </c>
      <c r="G32" s="21" t="s">
        <v>58</v>
      </c>
      <c r="H32" s="22">
        <v>0</v>
      </c>
      <c r="Q32" s="42"/>
    </row>
    <row r="33" ht="15.75">
      <c r="Q33" s="42"/>
    </row>
    <row r="34" ht="15.75">
      <c r="Q34" s="42"/>
    </row>
    <row r="35" ht="15.75">
      <c r="Q35" s="42"/>
    </row>
    <row r="36" ht="15.75">
      <c r="Q36" s="42"/>
    </row>
    <row r="37" ht="15.75">
      <c r="Q37" s="42"/>
    </row>
    <row r="38" ht="15.75">
      <c r="Q38" s="42"/>
    </row>
    <row r="39" ht="15.75">
      <c r="Q39" s="42"/>
    </row>
  </sheetData>
  <sheetProtection/>
  <mergeCells count="79">
    <mergeCell ref="Z4:AA4"/>
    <mergeCell ref="Z5:AA5"/>
    <mergeCell ref="Z7:AA7"/>
    <mergeCell ref="Z8:AA8"/>
    <mergeCell ref="Z9:AA9"/>
    <mergeCell ref="S4:U4"/>
    <mergeCell ref="S5:U5"/>
    <mergeCell ref="S7:U7"/>
    <mergeCell ref="S8:U8"/>
    <mergeCell ref="S9:U9"/>
    <mergeCell ref="M9:O9"/>
    <mergeCell ref="B26:H26"/>
    <mergeCell ref="B31:C31"/>
    <mergeCell ref="J5:L5"/>
    <mergeCell ref="J8:L8"/>
    <mergeCell ref="J9:L9"/>
    <mergeCell ref="E5:I5"/>
    <mergeCell ref="D5:D6"/>
    <mergeCell ref="E7:I7"/>
    <mergeCell ref="E8:I8"/>
    <mergeCell ref="E9:I9"/>
    <mergeCell ref="B8:C8"/>
    <mergeCell ref="B9:C9"/>
    <mergeCell ref="J7:L7"/>
    <mergeCell ref="B29:C29"/>
    <mergeCell ref="B30:C30"/>
    <mergeCell ref="AF8:AG8"/>
    <mergeCell ref="AF9:AG9"/>
    <mergeCell ref="AD8:AD9"/>
    <mergeCell ref="AE5:AE6"/>
    <mergeCell ref="AB5:AC5"/>
    <mergeCell ref="AB8:AC8"/>
    <mergeCell ref="AB9:AC9"/>
    <mergeCell ref="AE8:AE9"/>
    <mergeCell ref="AB7:AC7"/>
    <mergeCell ref="AI11:AI22"/>
    <mergeCell ref="AJ5:AJ6"/>
    <mergeCell ref="AK5:AK6"/>
    <mergeCell ref="AL5:AL6"/>
    <mergeCell ref="AJ8:AJ9"/>
    <mergeCell ref="AK8:AK9"/>
    <mergeCell ref="AL8:AL9"/>
    <mergeCell ref="AI5:AI6"/>
    <mergeCell ref="AH8:AI8"/>
    <mergeCell ref="AH9:AI9"/>
    <mergeCell ref="AH5:AH6"/>
    <mergeCell ref="AH11:AH22"/>
    <mergeCell ref="AH4:AI4"/>
    <mergeCell ref="A5:A6"/>
    <mergeCell ref="B4:C4"/>
    <mergeCell ref="E4:I4"/>
    <mergeCell ref="J4:L4"/>
    <mergeCell ref="M4:O4"/>
    <mergeCell ref="P4:R4"/>
    <mergeCell ref="V4:W4"/>
    <mergeCell ref="X4:Y4"/>
    <mergeCell ref="AG5:AG6"/>
    <mergeCell ref="AD5:AD6"/>
    <mergeCell ref="B5:B6"/>
    <mergeCell ref="C5:C6"/>
    <mergeCell ref="AF5:AF6"/>
    <mergeCell ref="M5:O5"/>
    <mergeCell ref="P5:R5"/>
    <mergeCell ref="V5:W5"/>
    <mergeCell ref="X5:Y5"/>
    <mergeCell ref="B32:C32"/>
    <mergeCell ref="B28:C28"/>
    <mergeCell ref="AB4:AC4"/>
    <mergeCell ref="P7:R7"/>
    <mergeCell ref="X7:Y7"/>
    <mergeCell ref="V8:W8"/>
    <mergeCell ref="V9:W9"/>
    <mergeCell ref="X8:Y8"/>
    <mergeCell ref="X9:Y9"/>
    <mergeCell ref="V7:W7"/>
    <mergeCell ref="P8:R8"/>
    <mergeCell ref="P9:R9"/>
    <mergeCell ref="M7:O7"/>
    <mergeCell ref="M8:O8"/>
  </mergeCells>
  <printOptions/>
  <pageMargins left="0.3937007874015748" right="0.15748031496062992" top="0.4330708661417323" bottom="0.7480314960629921" header="0.31496062992125984" footer="0.31496062992125984"/>
  <pageSetup fitToWidth="2" fitToHeight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tabSelected="1" zoomScale="90" zoomScaleNormal="90" zoomScalePageLayoutView="0" workbookViewId="0" topLeftCell="A1">
      <selection activeCell="B13" sqref="B13:B25"/>
    </sheetView>
  </sheetViews>
  <sheetFormatPr defaultColWidth="9.00390625" defaultRowHeight="12.75"/>
  <cols>
    <col min="1" max="1" width="16.00390625" style="6" customWidth="1"/>
    <col min="2" max="2" width="35.25390625" style="6" customWidth="1"/>
    <col min="3" max="4" width="21.00390625" style="6" customWidth="1"/>
    <col min="5" max="5" width="15.125" style="6" customWidth="1"/>
    <col min="6" max="6" width="12.875" style="6" customWidth="1"/>
    <col min="7" max="7" width="19.375" style="6" customWidth="1"/>
    <col min="8" max="8" width="23.625" style="6" customWidth="1"/>
    <col min="9" max="9" width="28.875" style="6" customWidth="1"/>
    <col min="10" max="10" width="21.625" style="6" customWidth="1"/>
    <col min="11" max="11" width="17.00390625" style="6" customWidth="1"/>
    <col min="12" max="12" width="14.625" style="6" customWidth="1"/>
    <col min="13" max="13" width="13.75390625" style="6" customWidth="1"/>
    <col min="14" max="14" width="14.375" style="6" customWidth="1"/>
    <col min="15" max="15" width="16.125" style="6" customWidth="1"/>
    <col min="16" max="16384" width="9.125" style="6" customWidth="1"/>
  </cols>
  <sheetData>
    <row r="2" spans="2:7" ht="15">
      <c r="B2" s="222" t="s">
        <v>288</v>
      </c>
      <c r="C2" s="222"/>
      <c r="D2" s="222"/>
      <c r="E2" s="222"/>
      <c r="F2" s="222"/>
      <c r="G2" s="222"/>
    </row>
    <row r="3" ht="33" customHeight="1">
      <c r="B3" s="6" t="s">
        <v>290</v>
      </c>
    </row>
    <row r="4" spans="2:7" ht="24.75" customHeight="1">
      <c r="B4" s="136" t="s">
        <v>257</v>
      </c>
      <c r="C4" s="137">
        <f>SUM(0.075*(ДАННЫЕ!H29+ДАННЫЕ!H30)+0.2*ДАННЫЕ!H31-ДАННЫЕ!H32)</f>
        <v>4668750</v>
      </c>
      <c r="D4" s="138"/>
      <c r="E4" s="138"/>
      <c r="F4" s="138"/>
      <c r="G4" s="138"/>
    </row>
    <row r="5" spans="2:7" ht="18">
      <c r="B5" s="230" t="s">
        <v>281</v>
      </c>
      <c r="C5" s="230"/>
      <c r="D5" s="93"/>
      <c r="E5" s="93"/>
      <c r="F5" s="93"/>
      <c r="G5" s="93"/>
    </row>
    <row r="8" spans="1:15" s="10" customFormat="1" ht="183.75" customHeight="1">
      <c r="A8" s="57" t="s">
        <v>273</v>
      </c>
      <c r="B8" s="8" t="s">
        <v>102</v>
      </c>
      <c r="C8" s="57" t="s">
        <v>259</v>
      </c>
      <c r="D8" s="224" t="s">
        <v>259</v>
      </c>
      <c r="E8" s="225"/>
      <c r="F8" s="226"/>
      <c r="G8" s="31" t="s">
        <v>263</v>
      </c>
      <c r="H8" s="31" t="s">
        <v>266</v>
      </c>
      <c r="I8" s="53" t="s">
        <v>260</v>
      </c>
      <c r="J8" s="31" t="s">
        <v>269</v>
      </c>
      <c r="K8" s="53" t="s">
        <v>262</v>
      </c>
      <c r="L8" s="53" t="s">
        <v>185</v>
      </c>
      <c r="M8" s="53" t="s">
        <v>119</v>
      </c>
      <c r="N8" s="53" t="s">
        <v>34</v>
      </c>
      <c r="O8" s="53" t="s">
        <v>132</v>
      </c>
    </row>
    <row r="9" spans="1:15" s="10" customFormat="1" ht="18.75">
      <c r="A9" s="8"/>
      <c r="B9" s="8" t="s">
        <v>30</v>
      </c>
      <c r="C9" s="57" t="s">
        <v>103</v>
      </c>
      <c r="D9" s="224" t="s">
        <v>103</v>
      </c>
      <c r="E9" s="225"/>
      <c r="F9" s="226"/>
      <c r="G9" s="31" t="s">
        <v>264</v>
      </c>
      <c r="H9" s="31" t="s">
        <v>265</v>
      </c>
      <c r="I9" s="53" t="s">
        <v>104</v>
      </c>
      <c r="J9" s="31" t="s">
        <v>270</v>
      </c>
      <c r="K9" s="53" t="s">
        <v>31</v>
      </c>
      <c r="L9" s="53" t="s">
        <v>261</v>
      </c>
      <c r="M9" s="53" t="s">
        <v>18</v>
      </c>
      <c r="N9" s="61" t="s">
        <v>139</v>
      </c>
      <c r="O9" s="61" t="s">
        <v>21</v>
      </c>
    </row>
    <row r="10" spans="1:15" s="10" customFormat="1" ht="33">
      <c r="A10" s="8"/>
      <c r="B10" s="31" t="s">
        <v>258</v>
      </c>
      <c r="C10" s="8" t="s">
        <v>22</v>
      </c>
      <c r="D10" s="224" t="s">
        <v>282</v>
      </c>
      <c r="E10" s="225"/>
      <c r="F10" s="226"/>
      <c r="G10" s="31"/>
      <c r="H10" s="57" t="s">
        <v>267</v>
      </c>
      <c r="I10" s="53" t="s">
        <v>271</v>
      </c>
      <c r="J10" s="31" t="s">
        <v>82</v>
      </c>
      <c r="K10" s="53" t="s">
        <v>32</v>
      </c>
      <c r="L10" s="53" t="s">
        <v>1</v>
      </c>
      <c r="M10" s="53" t="s">
        <v>1</v>
      </c>
      <c r="N10" s="53" t="s">
        <v>1</v>
      </c>
      <c r="O10" s="53" t="s">
        <v>1</v>
      </c>
    </row>
    <row r="11" spans="1:15" s="10" customFormat="1" ht="33.75">
      <c r="A11" s="31"/>
      <c r="B11" s="31"/>
      <c r="C11" s="31"/>
      <c r="D11" s="106" t="s">
        <v>283</v>
      </c>
      <c r="E11" s="106" t="s">
        <v>284</v>
      </c>
      <c r="F11" s="106" t="s">
        <v>1</v>
      </c>
      <c r="G11" s="31"/>
      <c r="H11" s="31"/>
      <c r="I11" s="53" t="s">
        <v>272</v>
      </c>
      <c r="J11" s="95"/>
      <c r="K11" s="97" t="s">
        <v>268</v>
      </c>
      <c r="L11" s="53"/>
      <c r="M11" s="53"/>
      <c r="N11" s="53"/>
      <c r="O11" s="53"/>
    </row>
    <row r="12" spans="1:15" s="10" customFormat="1" ht="15">
      <c r="A12" s="31"/>
      <c r="B12" s="31">
        <v>1</v>
      </c>
      <c r="C12" s="31">
        <v>2</v>
      </c>
      <c r="D12" s="140" t="s">
        <v>285</v>
      </c>
      <c r="E12" s="140" t="s">
        <v>286</v>
      </c>
      <c r="F12" s="140" t="s">
        <v>287</v>
      </c>
      <c r="G12" s="31">
        <v>3</v>
      </c>
      <c r="H12" s="31">
        <v>4</v>
      </c>
      <c r="I12" s="53">
        <v>5</v>
      </c>
      <c r="J12" s="31">
        <v>6</v>
      </c>
      <c r="K12" s="53">
        <v>7</v>
      </c>
      <c r="L12" s="53">
        <v>8</v>
      </c>
      <c r="M12" s="53">
        <v>9</v>
      </c>
      <c r="N12" s="53">
        <v>10</v>
      </c>
      <c r="O12" s="53">
        <v>11</v>
      </c>
    </row>
    <row r="13" spans="1:15" ht="15">
      <c r="A13" s="23" t="s">
        <v>5</v>
      </c>
      <c r="B13" s="102">
        <f>IF(I13&lt;$C$13,(($O$25/$N$25)*($C$13-I13)*L13*N13),"")</f>
        <v>584658.384440461</v>
      </c>
      <c r="C13" s="227">
        <v>0.981</v>
      </c>
      <c r="D13" s="107">
        <f>IF(I13&lt;$C$13,I13*L13*N13,"")</f>
        <v>1355.9954183324485</v>
      </c>
      <c r="E13" s="107">
        <f>IF(I13&lt;$C$13,L13*N13,"")</f>
        <v>1541.387715811372</v>
      </c>
      <c r="F13" s="231">
        <f>SUM((C4/(O25/N25)+D25)/E25)</f>
        <v>0.9806771164130073</v>
      </c>
      <c r="G13" s="100">
        <v>7</v>
      </c>
      <c r="H13" s="98">
        <v>7</v>
      </c>
      <c r="I13" s="84">
        <f>SUM(K13+(J13/($O$25/$N$25*L13*N13)))</f>
        <v>0.8797237738583282</v>
      </c>
      <c r="J13" s="96">
        <f>SUM(ДАННЫЕ!D11)</f>
        <v>1312200</v>
      </c>
      <c r="K13" s="84">
        <f>SUM(M13/L13)</f>
        <v>0.6524206726289041</v>
      </c>
      <c r="L13" s="84">
        <f>SUM('Индекс бюджетных расходов'!B10)</f>
        <v>0.9392978158509274</v>
      </c>
      <c r="M13" s="84">
        <f>SUM('Индекс налогового потенциал'!B11)</f>
        <v>0.6128173128163226</v>
      </c>
      <c r="N13" s="59">
        <f>SUM(ЧИСЛЕННОСТЬ!F10)</f>
        <v>1641</v>
      </c>
      <c r="O13" s="59">
        <f>SUM(ДАННЫЕ!E11+ДАННЫЕ!F11+ДАННЫЕ!G11+ДАННЫЕ!H11+ДАННЫЕ!I11)</f>
        <v>3564600</v>
      </c>
    </row>
    <row r="14" spans="1:15" ht="15">
      <c r="A14" s="23" t="s">
        <v>6</v>
      </c>
      <c r="B14" s="102">
        <f aca="true" t="shared" si="0" ref="B14:B24">IF(I14&lt;$C$13,(($O$25/$N$25)*($C$13-I14)*L14*N14),"")</f>
        <v>977707.939517596</v>
      </c>
      <c r="C14" s="228"/>
      <c r="D14" s="107">
        <f aca="true" t="shared" si="1" ref="D14:D24">IF(I14&lt;$C$13,I14*L14*N14,"")</f>
        <v>406.2456837591089</v>
      </c>
      <c r="E14" s="107">
        <f aca="true" t="shared" si="2" ref="E14:E24">IF(I14&lt;$C$13,L14*N14,"")</f>
        <v>680.2214944003603</v>
      </c>
      <c r="F14" s="232"/>
      <c r="G14" s="100">
        <v>1</v>
      </c>
      <c r="H14" s="98">
        <v>1</v>
      </c>
      <c r="I14" s="84">
        <f aca="true" t="shared" si="3" ref="I14:I24">SUM(K14+(J14/($O$25/$N$25*L14*N14)))</f>
        <v>0.5972255906397504</v>
      </c>
      <c r="J14" s="96">
        <f>SUM(ДАННЫЕ!D12)</f>
        <v>1190800</v>
      </c>
      <c r="K14" s="84">
        <f aca="true" t="shared" si="4" ref="K14:K24">SUM(M14/L14)</f>
        <v>0.1298073073314757</v>
      </c>
      <c r="L14" s="84">
        <f>SUM('Индекс бюджетных расходов'!B11)</f>
        <v>1.1299360372099008</v>
      </c>
      <c r="M14" s="84">
        <f>SUM('Индекс налогового потенциал'!B12)</f>
        <v>0.14667395444701534</v>
      </c>
      <c r="N14" s="59">
        <f>SUM(ЧИСЛЕННОСТЬ!F11)</f>
        <v>602</v>
      </c>
      <c r="O14" s="59">
        <f>SUM(ДАННЫЕ!E12+ДАННЫЕ!F12+ДАННЫЕ!G12+ДАННЫЕ!H12+ДАННЫЕ!I12)</f>
        <v>365600</v>
      </c>
    </row>
    <row r="15" spans="1:15" ht="15">
      <c r="A15" s="23" t="s">
        <v>7</v>
      </c>
      <c r="B15" s="102">
        <f t="shared" si="0"/>
        <v>398730.8684100739</v>
      </c>
      <c r="C15" s="228"/>
      <c r="D15" s="107">
        <f t="shared" si="1"/>
        <v>275.154355140865</v>
      </c>
      <c r="E15" s="107">
        <f t="shared" si="2"/>
        <v>389.00811211688296</v>
      </c>
      <c r="F15" s="232"/>
      <c r="G15" s="100">
        <v>3</v>
      </c>
      <c r="H15" s="98">
        <v>3</v>
      </c>
      <c r="I15" s="84">
        <f t="shared" si="3"/>
        <v>0.7073229235337668</v>
      </c>
      <c r="J15" s="96">
        <f>SUM(ДАННЫЕ!D13)</f>
        <v>687300</v>
      </c>
      <c r="K15" s="84">
        <f t="shared" si="4"/>
        <v>0.23558052895750128</v>
      </c>
      <c r="L15" s="84">
        <f>SUM('Индекс бюджетных расходов'!B12)</f>
        <v>1.2388793379518566</v>
      </c>
      <c r="M15" s="84">
        <f>SUM('Индекс налогового потенциал'!B13)</f>
        <v>0.29185584974921736</v>
      </c>
      <c r="N15" s="59">
        <f>SUM(ЧИСЛЕННОСТЬ!F12)</f>
        <v>314</v>
      </c>
      <c r="O15" s="59">
        <f>SUM(ДАННЫЕ!E13+ДАННЫЕ!F13+ДАННЫЕ!G13+ДАННЫЕ!H13+ДАННЫЕ!I13)</f>
        <v>334000</v>
      </c>
    </row>
    <row r="16" spans="1:15" s="7" customFormat="1" ht="15">
      <c r="A16" s="69" t="s">
        <v>8</v>
      </c>
      <c r="B16" s="103">
        <f t="shared" si="0"/>
      </c>
      <c r="C16" s="228"/>
      <c r="D16" s="107">
        <f t="shared" si="1"/>
      </c>
      <c r="E16" s="107">
        <f t="shared" si="2"/>
      </c>
      <c r="F16" s="232"/>
      <c r="G16" s="104">
        <v>11</v>
      </c>
      <c r="H16" s="139"/>
      <c r="I16" s="84">
        <f t="shared" si="3"/>
        <v>1.1329635679789376</v>
      </c>
      <c r="J16" s="96">
        <f>SUM(ДАННЫЕ!D14)</f>
        <v>169600</v>
      </c>
      <c r="K16" s="84">
        <f t="shared" si="4"/>
        <v>1.1186656510465556</v>
      </c>
      <c r="L16" s="84">
        <f>SUM('Индекс бюджетных расходов'!B13)</f>
        <v>1.0783664135722528</v>
      </c>
      <c r="M16" s="84">
        <f>SUM('Индекс налогового потенциал'!B14)</f>
        <v>1.2063314661055433</v>
      </c>
      <c r="N16" s="59">
        <f>SUM(ЧИСЛЕННОСТЬ!F13)</f>
        <v>2937</v>
      </c>
      <c r="O16" s="59">
        <f>SUM(ДАННЫЕ!E14+ДАННЫЕ!F14+ДАННЫЕ!G14+ДАННЫЕ!H14+ДАННЫЕ!I14)</f>
        <v>13720500</v>
      </c>
    </row>
    <row r="17" spans="1:15" ht="15">
      <c r="A17" s="23" t="s">
        <v>9</v>
      </c>
      <c r="B17" s="102">
        <f t="shared" si="0"/>
        <v>393124.2060751452</v>
      </c>
      <c r="C17" s="228"/>
      <c r="D17" s="107">
        <f t="shared" si="1"/>
        <v>803.054808306971</v>
      </c>
      <c r="E17" s="107">
        <f t="shared" si="2"/>
        <v>925.6069436963344</v>
      </c>
      <c r="F17" s="232"/>
      <c r="G17" s="100">
        <v>5</v>
      </c>
      <c r="H17" s="98">
        <v>5</v>
      </c>
      <c r="I17" s="84">
        <f t="shared" si="3"/>
        <v>0.8675980812114897</v>
      </c>
      <c r="J17" s="96">
        <f>SUM(ДАННЫЕ!D15)</f>
        <v>1605900</v>
      </c>
      <c r="K17" s="84">
        <f t="shared" si="4"/>
        <v>0.40435481466061735</v>
      </c>
      <c r="L17" s="84">
        <f>SUM('Индекс бюджетных расходов'!B14)</f>
        <v>1.1151890887907643</v>
      </c>
      <c r="M17" s="84">
        <f>SUM('Индекс налогового потенциал'!B15)</f>
        <v>0.4509320773095322</v>
      </c>
      <c r="N17" s="59">
        <f>SUM(ЧИСЛЕННОСТЬ!F14)</f>
        <v>830</v>
      </c>
      <c r="O17" s="59">
        <f>SUM(ДАННЫЕ!E15+ДАННЫЕ!F15+ДАННЫЕ!G15+ДАННЫЕ!H15+ДАННЫЕ!I15)</f>
        <v>1445400</v>
      </c>
    </row>
    <row r="18" spans="1:15" ht="15">
      <c r="A18" s="23" t="s">
        <v>10</v>
      </c>
      <c r="B18" s="102">
        <f t="shared" si="0"/>
        <v>508480.3565046007</v>
      </c>
      <c r="C18" s="228"/>
      <c r="D18" s="107">
        <f t="shared" si="1"/>
        <v>444.54049472133846</v>
      </c>
      <c r="E18" s="107">
        <f t="shared" si="2"/>
        <v>591.5459867674493</v>
      </c>
      <c r="F18" s="232"/>
      <c r="G18" s="100">
        <v>6</v>
      </c>
      <c r="H18" s="98">
        <v>6</v>
      </c>
      <c r="I18" s="84">
        <f t="shared" si="3"/>
        <v>0.7514893257083288</v>
      </c>
      <c r="J18" s="96">
        <f>SUM(ДАННЫЕ!D16)</f>
        <v>838500</v>
      </c>
      <c r="K18" s="84">
        <f t="shared" si="4"/>
        <v>0.3730190506391581</v>
      </c>
      <c r="L18" s="84">
        <f>SUM('Индекс бюджетных расходов'!B15)</f>
        <v>1.1508676785358936</v>
      </c>
      <c r="M18" s="84">
        <f>SUM('Индекс налогового потенциал'!B16)</f>
        <v>0.4292955688587508</v>
      </c>
      <c r="N18" s="59">
        <f>SUM(ЧИСЛЕННОСТЬ!F15)</f>
        <v>514</v>
      </c>
      <c r="O18" s="59">
        <f>SUM(ДАННЫЕ!E16+ДАННЫЕ!F16+ДАННЫЕ!G16+ДАННЫЕ!H16+ДАННЫЕ!I16)</f>
        <v>987900</v>
      </c>
    </row>
    <row r="19" spans="1:15" s="7" customFormat="1" ht="15">
      <c r="A19" s="69" t="s">
        <v>11</v>
      </c>
      <c r="B19" s="103">
        <f t="shared" si="0"/>
        <v>77460.18090785762</v>
      </c>
      <c r="C19" s="228"/>
      <c r="D19" s="107">
        <f t="shared" si="1"/>
        <v>676.3704986065138</v>
      </c>
      <c r="E19" s="107">
        <f t="shared" si="2"/>
        <v>710.553160783814</v>
      </c>
      <c r="F19" s="232"/>
      <c r="G19" s="104">
        <v>9</v>
      </c>
      <c r="H19" s="105">
        <v>9</v>
      </c>
      <c r="I19" s="84">
        <f t="shared" si="3"/>
        <v>0.951892885622248</v>
      </c>
      <c r="J19" s="96">
        <f>SUM(ДАННЫЕ!D17)</f>
        <v>639500</v>
      </c>
      <c r="K19" s="84">
        <f t="shared" si="4"/>
        <v>0.7115887780612994</v>
      </c>
      <c r="L19" s="84">
        <f>SUM('Индекс бюджетных расходов'!B16)</f>
        <v>0.9436296955960345</v>
      </c>
      <c r="M19" s="84">
        <f>SUM('Индекс налогового потенциал'!B17)</f>
        <v>0.6714763020315381</v>
      </c>
      <c r="N19" s="59">
        <f>SUM(ЧИСЛЕННОСТЬ!F16)</f>
        <v>753</v>
      </c>
      <c r="O19" s="59">
        <f>SUM(ДАННЫЕ!E17+ДАННЫЕ!F17+ДАННЫЕ!G17+ДАННЫЕ!H17+ДАННЫЕ!I17)</f>
        <v>2072800</v>
      </c>
    </row>
    <row r="20" spans="1:15" s="7" customFormat="1" ht="15">
      <c r="A20" s="69" t="s">
        <v>13</v>
      </c>
      <c r="B20" s="103">
        <f t="shared" si="0"/>
      </c>
      <c r="C20" s="228"/>
      <c r="D20" s="107">
        <f t="shared" si="1"/>
      </c>
      <c r="E20" s="107">
        <f t="shared" si="2"/>
      </c>
      <c r="F20" s="232"/>
      <c r="G20" s="104">
        <v>10</v>
      </c>
      <c r="H20" s="139"/>
      <c r="I20" s="84">
        <f t="shared" si="3"/>
        <v>1.7266145159802742</v>
      </c>
      <c r="J20" s="96">
        <f>SUM(ДАННЫЕ!D18)</f>
        <v>84000</v>
      </c>
      <c r="K20" s="84">
        <f t="shared" si="4"/>
        <v>1.7081659661328845</v>
      </c>
      <c r="L20" s="84">
        <f>SUM('Индекс бюджетных расходов'!B17)</f>
        <v>0.8355477612876473</v>
      </c>
      <c r="M20" s="84">
        <f>SUM('Индекс налогового потенциал'!B18)</f>
        <v>1.4272542489100828</v>
      </c>
      <c r="N20" s="59">
        <f>SUM(ЧИСЛЕННОСТЬ!F17)</f>
        <v>1455</v>
      </c>
      <c r="O20" s="59">
        <f>SUM(ДАННЫЕ!E18+ДАННЫЕ!F18+ДАННЫЕ!G18+ДАННЫЕ!H18+ДАННЫЕ!I18)</f>
        <v>8342700</v>
      </c>
    </row>
    <row r="21" spans="1:15" s="7" customFormat="1" ht="15">
      <c r="A21" s="69" t="s">
        <v>12</v>
      </c>
      <c r="B21" s="103">
        <f t="shared" si="0"/>
      </c>
      <c r="C21" s="228"/>
      <c r="D21" s="107">
        <f t="shared" si="1"/>
      </c>
      <c r="E21" s="107">
        <f t="shared" si="2"/>
      </c>
      <c r="F21" s="232"/>
      <c r="G21" s="104">
        <v>12</v>
      </c>
      <c r="H21" s="139"/>
      <c r="I21" s="84">
        <f t="shared" si="3"/>
        <v>2.197028288416459</v>
      </c>
      <c r="J21" s="96">
        <f>SUM(ДАННЫЕ!D19)</f>
        <v>103100</v>
      </c>
      <c r="K21" s="84">
        <f t="shared" si="4"/>
        <v>2.1812163428766658</v>
      </c>
      <c r="L21" s="84">
        <f>SUM('Индекс бюджетных расходов'!B18)</f>
        <v>0.9747856384357216</v>
      </c>
      <c r="M21" s="84">
        <f>SUM('Индекс налогового потенциал'!B19)</f>
        <v>2.1262183653574604</v>
      </c>
      <c r="N21" s="59">
        <f>SUM(ЧИСЛЕННОСТЬ!F18)</f>
        <v>1786</v>
      </c>
      <c r="O21" s="59">
        <f>SUM(ДАННЫЕ!E19+ДАННЫЕ!F19+ДАННЫЕ!G19+ДАННЫЕ!H19+ДАННЫЕ!I19)</f>
        <v>15694900</v>
      </c>
    </row>
    <row r="22" spans="1:15" ht="15">
      <c r="A22" s="23" t="s">
        <v>14</v>
      </c>
      <c r="B22" s="102">
        <f t="shared" si="0"/>
        <v>664324.4039467247</v>
      </c>
      <c r="C22" s="228"/>
      <c r="D22" s="107">
        <f t="shared" si="1"/>
        <v>440.69079321073184</v>
      </c>
      <c r="E22" s="107">
        <f t="shared" si="2"/>
        <v>630.0385761465668</v>
      </c>
      <c r="F22" s="232"/>
      <c r="G22" s="100">
        <v>2</v>
      </c>
      <c r="H22" s="98">
        <v>2</v>
      </c>
      <c r="I22" s="84">
        <f t="shared" si="3"/>
        <v>0.69946636586299</v>
      </c>
      <c r="J22" s="96">
        <f>SUM(ДАННЫЕ!D20)</f>
        <v>960500</v>
      </c>
      <c r="K22" s="84">
        <f t="shared" si="4"/>
        <v>0.29241665644077863</v>
      </c>
      <c r="L22" s="84">
        <f>SUM('Индекс бюджетных расходов'!B19)</f>
        <v>1.1645814716202714</v>
      </c>
      <c r="M22" s="84">
        <f>SUM('Индекс налогового потенциал'!B20)</f>
        <v>0.34054302008408127</v>
      </c>
      <c r="N22" s="59">
        <f>SUM(ЧИСЛЕННОСТЬ!F19)</f>
        <v>541</v>
      </c>
      <c r="O22" s="59">
        <f>SUM(ДАННЫЕ!E20+ДАННЫЕ!F20+ДАННЫЕ!G20+ДАННЫЕ!H20+ДАННЫЕ!I20)</f>
        <v>806500</v>
      </c>
    </row>
    <row r="23" spans="1:15" ht="15">
      <c r="A23" s="23" t="s">
        <v>15</v>
      </c>
      <c r="B23" s="102">
        <f t="shared" si="0"/>
        <v>657037.2047510295</v>
      </c>
      <c r="C23" s="228"/>
      <c r="D23" s="107">
        <f t="shared" si="1"/>
        <v>1275.0978964326196</v>
      </c>
      <c r="E23" s="107">
        <f t="shared" si="2"/>
        <v>1478.6230759791697</v>
      </c>
      <c r="F23" s="232"/>
      <c r="G23" s="100">
        <v>8</v>
      </c>
      <c r="H23" s="98">
        <v>8</v>
      </c>
      <c r="I23" s="84">
        <f t="shared" si="3"/>
        <v>0.8623549281403089</v>
      </c>
      <c r="J23" s="96">
        <f>SUM(ДАННЫЕ!D21)</f>
        <v>1127200</v>
      </c>
      <c r="K23" s="84">
        <f t="shared" si="4"/>
        <v>0.6588097954854228</v>
      </c>
      <c r="L23" s="84">
        <f>SUM('Индекс бюджетных расходов'!B20)</f>
        <v>0.8297548125584566</v>
      </c>
      <c r="M23" s="84">
        <f>SUM('Индекс налогового потенциал'!B21)</f>
        <v>0.5466505983646822</v>
      </c>
      <c r="N23" s="59">
        <f>SUM(ЧИСЛЕННОСТЬ!F20)</f>
        <v>1782</v>
      </c>
      <c r="O23" s="59">
        <f>SUM(ДАННЫЕ!E21+ДАННЫЕ!F21+ДАННЫЕ!G21+ДАННЫЕ!H21+ДАННЫЕ!I21)</f>
        <v>3543800</v>
      </c>
    </row>
    <row r="24" spans="1:15" ht="15">
      <c r="A24" s="23" t="s">
        <v>16</v>
      </c>
      <c r="B24" s="102">
        <f t="shared" si="0"/>
        <v>416581.66579743224</v>
      </c>
      <c r="C24" s="229"/>
      <c r="D24" s="107">
        <f t="shared" si="1"/>
        <v>662.9406945020988</v>
      </c>
      <c r="E24" s="107">
        <f t="shared" si="2"/>
        <v>789.1636347166194</v>
      </c>
      <c r="F24" s="233"/>
      <c r="G24" s="100">
        <v>4</v>
      </c>
      <c r="H24" s="98">
        <v>4</v>
      </c>
      <c r="I24" s="84">
        <f t="shared" si="3"/>
        <v>0.8400547938833423</v>
      </c>
      <c r="J24" s="96">
        <f>SUM(ДАННЫЕ!D22)</f>
        <v>1035000</v>
      </c>
      <c r="K24" s="84">
        <f t="shared" si="4"/>
        <v>0.4898754645758547</v>
      </c>
      <c r="L24" s="84">
        <f>SUM('Индекс бюджетных расходов'!B21)</f>
        <v>1.1193810421512331</v>
      </c>
      <c r="M24" s="84">
        <f>SUM('Индекс налогового потенциал'!B22)</f>
        <v>0.5483573080612397</v>
      </c>
      <c r="N24" s="59">
        <f>SUM(ЧИСЛЕННОСТЬ!F21)</f>
        <v>705</v>
      </c>
      <c r="O24" s="59">
        <f>SUM(ДАННЫЕ!E22+ДАННЫЕ!F22+ДАННЫЕ!G22+ДАННЫЕ!H22+ДАННЫЕ!I22)</f>
        <v>1030700</v>
      </c>
    </row>
    <row r="25" spans="1:15" s="58" customFormat="1" ht="14.25">
      <c r="A25" s="24" t="s">
        <v>2</v>
      </c>
      <c r="B25" s="85">
        <f>SUM(B13:B24)</f>
        <v>4678105.21035092</v>
      </c>
      <c r="C25" s="24"/>
      <c r="D25" s="108">
        <f>SUM(D13:D24)</f>
        <v>6340.090643012696</v>
      </c>
      <c r="E25" s="108">
        <f>SUM(E13:E24)</f>
        <v>7736.148700418568</v>
      </c>
      <c r="F25" s="109"/>
      <c r="G25" s="101"/>
      <c r="H25" s="99"/>
      <c r="I25" s="55"/>
      <c r="J25" s="94">
        <f>SUM(J13:J24)</f>
        <v>9753600</v>
      </c>
      <c r="K25" s="55"/>
      <c r="L25" s="55"/>
      <c r="M25" s="55"/>
      <c r="N25" s="63">
        <f>SUM(ЧИСЛЕННОСТЬ!F22)</f>
        <v>13860</v>
      </c>
      <c r="O25" s="63">
        <f>SUM(O13:O24)</f>
        <v>51909400</v>
      </c>
    </row>
    <row r="27" spans="2:3" ht="15">
      <c r="B27" s="223" t="s">
        <v>256</v>
      </c>
      <c r="C27" s="223"/>
    </row>
    <row r="28" spans="2:3" ht="15">
      <c r="B28" s="54" t="s">
        <v>234</v>
      </c>
      <c r="C28" s="77">
        <f>SUM(C29+C30+C31)</f>
        <v>1</v>
      </c>
    </row>
    <row r="29" spans="2:3" ht="15">
      <c r="B29" s="23" t="s">
        <v>276</v>
      </c>
      <c r="C29" s="76">
        <v>0.33</v>
      </c>
    </row>
    <row r="30" spans="2:3" ht="15">
      <c r="B30" s="23" t="s">
        <v>279</v>
      </c>
      <c r="C30" s="76">
        <v>0.33</v>
      </c>
    </row>
    <row r="31" spans="2:3" ht="15">
      <c r="B31" s="23" t="s">
        <v>280</v>
      </c>
      <c r="C31" s="76">
        <v>0.34</v>
      </c>
    </row>
    <row r="32" spans="2:3" ht="15">
      <c r="B32" s="54" t="s">
        <v>235</v>
      </c>
      <c r="C32" s="77">
        <f>SUM(C33+C34+C35)</f>
        <v>1</v>
      </c>
    </row>
    <row r="33" spans="2:3" ht="15">
      <c r="B33" s="23" t="s">
        <v>275</v>
      </c>
      <c r="C33" s="76">
        <v>0.33</v>
      </c>
    </row>
    <row r="34" spans="2:3" ht="15">
      <c r="B34" s="23" t="s">
        <v>277</v>
      </c>
      <c r="C34" s="76">
        <v>0.33</v>
      </c>
    </row>
    <row r="35" spans="2:3" ht="15">
      <c r="B35" s="23" t="s">
        <v>278</v>
      </c>
      <c r="C35" s="76">
        <v>0.34</v>
      </c>
    </row>
  </sheetData>
  <sheetProtection/>
  <mergeCells count="8">
    <mergeCell ref="B2:G2"/>
    <mergeCell ref="B27:C27"/>
    <mergeCell ref="D10:F10"/>
    <mergeCell ref="C13:C24"/>
    <mergeCell ref="B5:C5"/>
    <mergeCell ref="F13:F24"/>
    <mergeCell ref="D8:F8"/>
    <mergeCell ref="D9:F9"/>
  </mergeCells>
  <printOptions/>
  <pageMargins left="0.32" right="0.28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3"/>
  <sheetViews>
    <sheetView zoomScalePageLayoutView="0" workbookViewId="0" topLeftCell="C4">
      <selection activeCell="AD23" sqref="AD23"/>
    </sheetView>
  </sheetViews>
  <sheetFormatPr defaultColWidth="9.00390625" defaultRowHeight="12.75"/>
  <cols>
    <col min="1" max="1" width="18.375" style="1" customWidth="1"/>
    <col min="2" max="2" width="25.375" style="1" customWidth="1"/>
    <col min="3" max="3" width="22.875" style="1" customWidth="1"/>
    <col min="4" max="4" width="19.125" style="4" customWidth="1"/>
    <col min="5" max="5" width="14.375" style="1" customWidth="1"/>
    <col min="6" max="6" width="15.125" style="1" customWidth="1"/>
    <col min="7" max="7" width="15.25390625" style="1" customWidth="1"/>
    <col min="8" max="8" width="14.625" style="1" customWidth="1"/>
    <col min="9" max="9" width="15.25390625" style="1" customWidth="1"/>
    <col min="10" max="10" width="19.125" style="43" customWidth="1"/>
    <col min="11" max="15" width="19.25390625" style="1" customWidth="1"/>
    <col min="16" max="16" width="13.875" style="1" customWidth="1"/>
    <col min="17" max="17" width="14.125" style="1" customWidth="1"/>
    <col min="18" max="18" width="13.125" style="1" customWidth="1"/>
    <col min="19" max="20" width="12.75390625" style="1" customWidth="1"/>
    <col min="21" max="21" width="20.875" style="1" customWidth="1"/>
    <col min="22" max="22" width="18.875" style="1" customWidth="1"/>
    <col min="23" max="23" width="16.125" style="1" customWidth="1"/>
    <col min="24" max="24" width="13.75390625" style="1" customWidth="1"/>
    <col min="25" max="26" width="22.625" style="1" customWidth="1"/>
    <col min="27" max="28" width="22.25390625" style="1" customWidth="1"/>
    <col min="29" max="29" width="21.00390625" style="1" customWidth="1"/>
    <col min="30" max="30" width="20.875" style="1" customWidth="1"/>
    <col min="31" max="31" width="18.375" style="1" customWidth="1"/>
    <col min="32" max="32" width="15.125" style="1" customWidth="1"/>
    <col min="33" max="16384" width="9.125" style="1" customWidth="1"/>
  </cols>
  <sheetData>
    <row r="2" spans="2:6" ht="14.25">
      <c r="B2" s="222" t="s">
        <v>200</v>
      </c>
      <c r="C2" s="222"/>
      <c r="D2" s="222"/>
      <c r="E2" s="222"/>
      <c r="F2" s="222"/>
    </row>
    <row r="4" spans="30:32" ht="31.5" customHeight="1">
      <c r="AD4" s="235" t="s">
        <v>184</v>
      </c>
      <c r="AE4" s="235"/>
      <c r="AF4" s="235"/>
    </row>
    <row r="5" spans="1:32" s="2" customFormat="1" ht="109.5" customHeight="1">
      <c r="A5" s="241" t="s">
        <v>0</v>
      </c>
      <c r="B5" s="37" t="s">
        <v>119</v>
      </c>
      <c r="C5" s="33" t="s">
        <v>23</v>
      </c>
      <c r="D5" s="33" t="s">
        <v>24</v>
      </c>
      <c r="E5" s="234" t="s">
        <v>23</v>
      </c>
      <c r="F5" s="234"/>
      <c r="G5" s="234"/>
      <c r="H5" s="234"/>
      <c r="I5" s="234"/>
      <c r="J5" s="44" t="s">
        <v>23</v>
      </c>
      <c r="K5" s="234" t="s">
        <v>132</v>
      </c>
      <c r="L5" s="234"/>
      <c r="M5" s="234"/>
      <c r="N5" s="234"/>
      <c r="O5" s="234"/>
      <c r="P5" s="234" t="s">
        <v>122</v>
      </c>
      <c r="Q5" s="234"/>
      <c r="R5" s="234"/>
      <c r="S5" s="234"/>
      <c r="T5" s="234"/>
      <c r="U5" s="234" t="s">
        <v>121</v>
      </c>
      <c r="V5" s="234"/>
      <c r="W5" s="234"/>
      <c r="X5" s="234"/>
      <c r="Y5" s="234"/>
      <c r="Z5" s="33" t="s">
        <v>140</v>
      </c>
      <c r="AA5" s="33" t="s">
        <v>137</v>
      </c>
      <c r="AB5" s="33" t="s">
        <v>166</v>
      </c>
      <c r="AC5" s="33" t="s">
        <v>171</v>
      </c>
      <c r="AD5" s="33" t="s">
        <v>173</v>
      </c>
      <c r="AE5" s="239" t="s">
        <v>175</v>
      </c>
      <c r="AF5" s="240"/>
    </row>
    <row r="6" spans="1:32" s="2" customFormat="1" ht="29.25" customHeight="1">
      <c r="A6" s="242"/>
      <c r="B6" s="37" t="s">
        <v>18</v>
      </c>
      <c r="C6" s="33" t="s">
        <v>19</v>
      </c>
      <c r="D6" s="33" t="s">
        <v>25</v>
      </c>
      <c r="E6" s="234" t="s">
        <v>183</v>
      </c>
      <c r="F6" s="234"/>
      <c r="G6" s="234"/>
      <c r="H6" s="234"/>
      <c r="I6" s="234"/>
      <c r="J6" s="44" t="s">
        <v>35</v>
      </c>
      <c r="K6" s="234" t="s">
        <v>136</v>
      </c>
      <c r="L6" s="234"/>
      <c r="M6" s="234"/>
      <c r="N6" s="234"/>
      <c r="O6" s="234"/>
      <c r="P6" s="234" t="s">
        <v>123</v>
      </c>
      <c r="Q6" s="234"/>
      <c r="R6" s="234"/>
      <c r="S6" s="234"/>
      <c r="T6" s="234"/>
      <c r="U6" s="234" t="s">
        <v>148</v>
      </c>
      <c r="V6" s="234"/>
      <c r="W6" s="234"/>
      <c r="X6" s="234"/>
      <c r="Y6" s="234"/>
      <c r="Z6" s="33" t="s">
        <v>38</v>
      </c>
      <c r="AA6" s="33" t="s">
        <v>139</v>
      </c>
      <c r="AB6" s="33" t="s">
        <v>169</v>
      </c>
      <c r="AC6" s="33" t="s">
        <v>168</v>
      </c>
      <c r="AD6" s="33" t="s">
        <v>172</v>
      </c>
      <c r="AE6" s="33" t="s">
        <v>179</v>
      </c>
      <c r="AF6" s="33" t="s">
        <v>176</v>
      </c>
    </row>
    <row r="7" spans="1:32" s="2" customFormat="1" ht="60.75" customHeight="1">
      <c r="A7" s="242"/>
      <c r="B7" s="33" t="s">
        <v>152</v>
      </c>
      <c r="C7" s="33" t="s">
        <v>126</v>
      </c>
      <c r="D7" s="33" t="s">
        <v>120</v>
      </c>
      <c r="E7" s="234" t="s">
        <v>135</v>
      </c>
      <c r="F7" s="234"/>
      <c r="G7" s="234"/>
      <c r="H7" s="234"/>
      <c r="I7" s="234"/>
      <c r="J7" s="44" t="s">
        <v>163</v>
      </c>
      <c r="K7" s="33" t="s">
        <v>83</v>
      </c>
      <c r="L7" s="33" t="s">
        <v>124</v>
      </c>
      <c r="M7" s="33" t="s">
        <v>3</v>
      </c>
      <c r="N7" s="33" t="s">
        <v>4</v>
      </c>
      <c r="O7" s="33" t="s">
        <v>125</v>
      </c>
      <c r="P7" s="33" t="s">
        <v>83</v>
      </c>
      <c r="Q7" s="33" t="s">
        <v>124</v>
      </c>
      <c r="R7" s="33" t="s">
        <v>3</v>
      </c>
      <c r="S7" s="33" t="s">
        <v>4</v>
      </c>
      <c r="T7" s="33" t="s">
        <v>125</v>
      </c>
      <c r="U7" s="33" t="s">
        <v>127</v>
      </c>
      <c r="V7" s="33" t="s">
        <v>128</v>
      </c>
      <c r="W7" s="33" t="s">
        <v>129</v>
      </c>
      <c r="X7" s="33" t="s">
        <v>130</v>
      </c>
      <c r="Y7" s="33" t="s">
        <v>131</v>
      </c>
      <c r="Z7" s="33" t="s">
        <v>141</v>
      </c>
      <c r="AA7" s="33"/>
      <c r="AB7" s="33" t="s">
        <v>170</v>
      </c>
      <c r="AC7" s="33" t="s">
        <v>167</v>
      </c>
      <c r="AD7" s="33" t="s">
        <v>174</v>
      </c>
      <c r="AE7" s="33"/>
      <c r="AF7" s="33"/>
    </row>
    <row r="8" spans="1:32" s="5" customFormat="1" ht="52.5" customHeight="1">
      <c r="A8" s="242"/>
      <c r="B8" s="33"/>
      <c r="C8" s="33"/>
      <c r="D8" s="33"/>
      <c r="E8" s="33" t="s">
        <v>83</v>
      </c>
      <c r="F8" s="33" t="s">
        <v>124</v>
      </c>
      <c r="G8" s="33" t="s">
        <v>3</v>
      </c>
      <c r="H8" s="33" t="s">
        <v>4</v>
      </c>
      <c r="I8" s="33" t="s">
        <v>125</v>
      </c>
      <c r="J8" s="33"/>
      <c r="K8" s="234" t="s">
        <v>133</v>
      </c>
      <c r="L8" s="234"/>
      <c r="M8" s="234"/>
      <c r="N8" s="234"/>
      <c r="O8" s="234"/>
      <c r="P8" s="234" t="s">
        <v>142</v>
      </c>
      <c r="Q8" s="234"/>
      <c r="R8" s="234"/>
      <c r="S8" s="234"/>
      <c r="T8" s="234"/>
      <c r="U8" s="33" t="s">
        <v>134</v>
      </c>
      <c r="V8" s="234" t="s">
        <v>138</v>
      </c>
      <c r="W8" s="234"/>
      <c r="X8" s="234"/>
      <c r="Y8" s="33" t="s">
        <v>134</v>
      </c>
      <c r="Z8" s="33"/>
      <c r="AA8" s="33"/>
      <c r="AB8" s="33"/>
      <c r="AC8" s="33"/>
      <c r="AD8" s="33"/>
      <c r="AE8" s="33"/>
      <c r="AF8" s="33"/>
    </row>
    <row r="9" spans="1:32" s="5" customFormat="1" ht="51" customHeight="1">
      <c r="A9" s="243"/>
      <c r="B9" s="33" t="s">
        <v>182</v>
      </c>
      <c r="C9" s="33" t="s">
        <v>150</v>
      </c>
      <c r="D9" s="33" t="s">
        <v>151</v>
      </c>
      <c r="E9" s="33" t="s">
        <v>158</v>
      </c>
      <c r="F9" s="33" t="s">
        <v>160</v>
      </c>
      <c r="G9" s="33" t="s">
        <v>161</v>
      </c>
      <c r="H9" s="33" t="s">
        <v>162</v>
      </c>
      <c r="I9" s="33" t="s">
        <v>159</v>
      </c>
      <c r="J9" s="33" t="s">
        <v>165</v>
      </c>
      <c r="K9" s="234" t="s">
        <v>149</v>
      </c>
      <c r="L9" s="234"/>
      <c r="M9" s="234"/>
      <c r="N9" s="234"/>
      <c r="O9" s="234"/>
      <c r="P9" s="33" t="s">
        <v>143</v>
      </c>
      <c r="Q9" s="33" t="s">
        <v>144</v>
      </c>
      <c r="R9" s="33" t="s">
        <v>145</v>
      </c>
      <c r="S9" s="33" t="s">
        <v>146</v>
      </c>
      <c r="T9" s="33" t="s">
        <v>147</v>
      </c>
      <c r="U9" s="33"/>
      <c r="V9" s="33"/>
      <c r="W9" s="33"/>
      <c r="X9" s="33"/>
      <c r="Y9" s="33"/>
      <c r="Z9" s="33"/>
      <c r="AA9" s="33"/>
      <c r="AB9" s="33" t="s">
        <v>181</v>
      </c>
      <c r="AC9" s="33"/>
      <c r="AD9" s="33" t="s">
        <v>177</v>
      </c>
      <c r="AE9" s="33" t="s">
        <v>180</v>
      </c>
      <c r="AF9" s="33" t="s">
        <v>178</v>
      </c>
    </row>
    <row r="10" spans="1:32" s="2" customFormat="1" ht="12.75">
      <c r="A10" s="32"/>
      <c r="B10" s="33">
        <v>1</v>
      </c>
      <c r="C10" s="33">
        <v>2</v>
      </c>
      <c r="D10" s="33">
        <v>3</v>
      </c>
      <c r="E10" s="33">
        <v>4</v>
      </c>
      <c r="F10" s="33">
        <v>5</v>
      </c>
      <c r="G10" s="33">
        <v>6</v>
      </c>
      <c r="H10" s="33">
        <v>7</v>
      </c>
      <c r="I10" s="33">
        <v>8</v>
      </c>
      <c r="J10" s="45" t="s">
        <v>164</v>
      </c>
      <c r="K10" s="33">
        <v>9</v>
      </c>
      <c r="L10" s="33">
        <v>10</v>
      </c>
      <c r="M10" s="33">
        <v>11</v>
      </c>
      <c r="N10" s="33">
        <v>12</v>
      </c>
      <c r="O10" s="33">
        <v>13</v>
      </c>
      <c r="P10" s="33">
        <v>14</v>
      </c>
      <c r="Q10" s="33">
        <v>15</v>
      </c>
      <c r="R10" s="33">
        <v>16</v>
      </c>
      <c r="S10" s="33">
        <v>17</v>
      </c>
      <c r="T10" s="33">
        <v>18</v>
      </c>
      <c r="U10" s="33">
        <v>19</v>
      </c>
      <c r="V10" s="33">
        <v>20</v>
      </c>
      <c r="W10" s="33">
        <v>21</v>
      </c>
      <c r="X10" s="33">
        <v>22</v>
      </c>
      <c r="Y10" s="33">
        <v>23</v>
      </c>
      <c r="Z10" s="33">
        <v>24</v>
      </c>
      <c r="AA10" s="33">
        <v>25</v>
      </c>
      <c r="AB10" s="33">
        <v>26</v>
      </c>
      <c r="AC10" s="33">
        <v>27</v>
      </c>
      <c r="AD10" s="33">
        <v>28</v>
      </c>
      <c r="AE10" s="33">
        <v>29</v>
      </c>
      <c r="AF10" s="33">
        <v>30</v>
      </c>
    </row>
    <row r="11" spans="1:32" ht="12.75">
      <c r="A11" s="12" t="s">
        <v>5</v>
      </c>
      <c r="B11" s="50">
        <f>SUM(C11/$D$11+0.25*(J11-C11)/$D$11*AB11)</f>
        <v>0.6128173128163226</v>
      </c>
      <c r="C11" s="34">
        <f>SUM(P11+Q11+R11+S11+T11)</f>
        <v>2510.312328443231</v>
      </c>
      <c r="D11" s="236">
        <f>SUM(K23+L23+M23+N23+O23)/Z11</f>
        <v>3745.2669552669554</v>
      </c>
      <c r="E11" s="34">
        <f>SUM(ДАННЫЕ!AB11/ДАННЫЕ!$AB$23*$K$23/$Z$11)</f>
        <v>1571.0375383883572</v>
      </c>
      <c r="F11" s="34">
        <f>SUM(ДАННЫЕ!S11/ДАННЫЕ!$S$23*$L$23/$Z$11)</f>
        <v>0</v>
      </c>
      <c r="G11" s="34">
        <f>IF(ДАННЫЕ!T23&gt;0,(ДАННЫЕ!T11/ДАННЫЕ!$T$23*$M$23/$Z$11),-1*(ДАННЫЕ!T11/ДАННЫЕ!$T$23*$M$23/$Z$11))</f>
        <v>-301.9516375587049</v>
      </c>
      <c r="H11" s="34">
        <f>SUM(ДАННЫЕ!U11/ДАННЫЕ!$U$23*$N$23/$Z$11)</f>
        <v>174.55005400741274</v>
      </c>
      <c r="I11" s="34">
        <f>SUM(ДАННЫЕ!AC11/ДАННЫЕ!$AC$23*$O$23/$Z$11)</f>
        <v>29.398842810170546</v>
      </c>
      <c r="J11" s="46">
        <f>SUM(E11+F11+G11+H11+I11)</f>
        <v>1473.0347976472356</v>
      </c>
      <c r="K11" s="35">
        <f>SUM(ДАННЫЕ!E11)</f>
        <v>2694600</v>
      </c>
      <c r="L11" s="35">
        <f>SUM(ДАННЫЕ!F11)</f>
        <v>0</v>
      </c>
      <c r="M11" s="35">
        <f>SUM(ДАННЫЕ!G11)</f>
        <v>360000</v>
      </c>
      <c r="N11" s="35">
        <f>SUM(ДАННЫЕ!H11)</f>
        <v>480000</v>
      </c>
      <c r="O11" s="35">
        <f>SUM(ДАННЫЕ!I11)</f>
        <v>30000</v>
      </c>
      <c r="P11" s="34">
        <f>SUM(U11/$U$23*$K$23/$Z$11)</f>
        <v>1695.681319673749</v>
      </c>
      <c r="Q11" s="41">
        <f>SUM(V11/$V$23*$L$23/$Z$11)</f>
        <v>0</v>
      </c>
      <c r="R11" s="34">
        <f>SUM(W11/$W$23*$M$23/$Z$11)</f>
        <v>218.86189736517133</v>
      </c>
      <c r="S11" s="34">
        <f>SUM(X11/$X$23*$N$23/$Z$11)</f>
        <v>575.0144343394076</v>
      </c>
      <c r="T11" s="34">
        <f>SUM(Y11/$Y$23*$O$23/$Z$11)</f>
        <v>20.754677064902808</v>
      </c>
      <c r="U11" s="39">
        <f>SUM((0.4*ДАННЫЕ!V11+0.6*ДАННЫЕ!X11)/AA11)</f>
        <v>4739.680969294366</v>
      </c>
      <c r="V11" s="39">
        <f>SUM((0.4*ДАННЫЕ!J11+0.6*ДАННЫЕ!M11)/AA11)</f>
        <v>0</v>
      </c>
      <c r="W11" s="39">
        <f>SUM((0.4*ДАННЫЕ!K11+0.6*ДАННЫЕ!N11)/AA11)</f>
        <v>52.15380865326021</v>
      </c>
      <c r="X11" s="39">
        <f>SUM((0.4*ДАННЫЕ!L11+0.6*ДАННЫЕ!O11)/AA11)</f>
        <v>150.65411334552104</v>
      </c>
      <c r="Y11" s="39">
        <f>SUM((0.4*ДАННЫЕ!W11+0.6*ДАННЫЕ!Y11)/AA11)</f>
        <v>16.788543570993298</v>
      </c>
      <c r="Z11" s="244">
        <f>SUM(AA23)</f>
        <v>13860</v>
      </c>
      <c r="AA11" s="47">
        <f>SUM(ДАННЫЕ!B11)</f>
        <v>1641</v>
      </c>
      <c r="AB11" s="49">
        <f>SUM(AC11*AD11)</f>
        <v>0.8296637717454969</v>
      </c>
      <c r="AC11" s="38">
        <v>0.8</v>
      </c>
      <c r="AD11" s="48">
        <f>SUM(AF11/$AF$23)</f>
        <v>1.037079714681871</v>
      </c>
      <c r="AE11" s="34">
        <v>72830</v>
      </c>
      <c r="AF11" s="34">
        <f>SUM(AE11/ДАННЫЕ!B11)</f>
        <v>44.38147471054235</v>
      </c>
    </row>
    <row r="12" spans="1:32" ht="12.75">
      <c r="A12" s="12" t="s">
        <v>6</v>
      </c>
      <c r="B12" s="50">
        <f aca="true" t="shared" si="0" ref="B12:B22">SUM(C12/$D$11+0.25*(J12-C12)/$D$11*AB12)</f>
        <v>0.14667395444701534</v>
      </c>
      <c r="C12" s="34">
        <f aca="true" t="shared" si="1" ref="C12:C22">SUM(P12+Q12+R12+S12+T12)</f>
        <v>556.532885302816</v>
      </c>
      <c r="D12" s="237"/>
      <c r="E12" s="34">
        <f>SUM(ДАННЫЕ!AB12/ДАННЫЕ!$AB$23*$K$23/$Z$11)</f>
        <v>191.72053167123957</v>
      </c>
      <c r="F12" s="34">
        <f>SUM(ДАННЫЕ!S12/ДАННЫЕ!$S$23*$L$23/$Z$11)</f>
        <v>2.1699196725899785</v>
      </c>
      <c r="G12" s="34">
        <f>IF(ДАННЫЕ!T24&gt;0,(ДАННЫЕ!T12/ДАННЫЕ!$T$23*$M$23/$Z$11),-1*(ДАННЫЕ!T12/ДАННЫЕ!$T$23*$M$23/$Z$11))</f>
        <v>0</v>
      </c>
      <c r="H12" s="34">
        <f>SUM(ДАННЫЕ!U12/ДАННЫЕ!$U$23*$N$23/$Z$11)</f>
        <v>139.16861940842585</v>
      </c>
      <c r="I12" s="34">
        <f>SUM(ДАННЫЕ!AC12/ДАННЫЕ!$AC$23*$O$23/$Z$11)</f>
        <v>0</v>
      </c>
      <c r="J12" s="46">
        <f aca="true" t="shared" si="2" ref="J12:J22">SUM(E12+F12+G12+H12+I12)</f>
        <v>333.05907075225537</v>
      </c>
      <c r="K12" s="35">
        <f>SUM(ДАННЫЕ!E12)</f>
        <v>121100</v>
      </c>
      <c r="L12" s="35">
        <f>SUM(ДАННЫЕ!F12)</f>
        <v>6000</v>
      </c>
      <c r="M12" s="35">
        <f>SUM(ДАННЫЕ!G12)</f>
        <v>24000</v>
      </c>
      <c r="N12" s="35">
        <f>SUM(ДАННЫЕ!H12)</f>
        <v>214500</v>
      </c>
      <c r="O12" s="35">
        <f>SUM(ДАННЫЕ!I12)</f>
        <v>0</v>
      </c>
      <c r="P12" s="34">
        <f aca="true" t="shared" si="3" ref="P12:P22">SUM(U12/$U$23*$K$23/$Z$11)</f>
        <v>214.35644364758673</v>
      </c>
      <c r="Q12" s="41">
        <f aca="true" t="shared" si="4" ref="Q12:Q22">SUM(V12/$V$23*$L$23/$Z$11)</f>
        <v>0</v>
      </c>
      <c r="R12" s="34">
        <f aca="true" t="shared" si="5" ref="R12:R22">SUM(W12/$W$23*$M$23/$Z$11)</f>
        <v>24.607208253219344</v>
      </c>
      <c r="S12" s="34">
        <f aca="true" t="shared" si="6" ref="S12:S22">SUM(X12/$X$23*$N$23/$Z$11)</f>
        <v>317.56923340200996</v>
      </c>
      <c r="T12" s="34">
        <f aca="true" t="shared" si="7" ref="T12:T22">SUM(Y12/$Y$23*$O$23/$Z$11)</f>
        <v>0</v>
      </c>
      <c r="U12" s="39">
        <f>SUM((0.4*ДАННЫЕ!V12+0.6*ДАННЫЕ!X12)/AA12)</f>
        <v>599.1580757624688</v>
      </c>
      <c r="V12" s="39">
        <f>SUM((0.4*ДАННЫЕ!J12+0.6*ДАННЫЕ!M12)/AA12)</f>
        <v>0</v>
      </c>
      <c r="W12" s="39">
        <f>SUM((0.4*ДАННЫЕ!K12+0.6*ДАННЫЕ!N12)/AA12)</f>
        <v>5.863787375415282</v>
      </c>
      <c r="X12" s="39">
        <f>SUM((0.4*ДАННЫЕ!L12+0.6*ДАННЫЕ!O12)/AA12)</f>
        <v>83.2033222591362</v>
      </c>
      <c r="Y12" s="39">
        <f>SUM((0.4*ДАННЫЕ!W12+0.6*ДАННЫЕ!Y12)/AA12)</f>
        <v>0</v>
      </c>
      <c r="Z12" s="244"/>
      <c r="AA12" s="47">
        <f>SUM(ДАННЫЕ!B12)</f>
        <v>602</v>
      </c>
      <c r="AB12" s="49">
        <f aca="true" t="shared" si="8" ref="AB12:AB22">SUM(AC12*AD12)</f>
        <v>0.12887005179660177</v>
      </c>
      <c r="AC12" s="38">
        <v>0.8</v>
      </c>
      <c r="AD12" s="48">
        <f aca="true" t="shared" si="9" ref="AD12:AD22">SUM(AF12/$AF$23)</f>
        <v>0.1610875647457522</v>
      </c>
      <c r="AE12" s="34">
        <v>4150</v>
      </c>
      <c r="AF12" s="34">
        <f>SUM(AE12/ДАННЫЕ!B12)</f>
        <v>6.893687707641196</v>
      </c>
    </row>
    <row r="13" spans="1:32" ht="12.75">
      <c r="A13" s="12" t="s">
        <v>7</v>
      </c>
      <c r="B13" s="50">
        <f t="shared" si="0"/>
        <v>0.29185584974921736</v>
      </c>
      <c r="C13" s="34">
        <f t="shared" si="1"/>
        <v>1091.7232449487278</v>
      </c>
      <c r="D13" s="237"/>
      <c r="E13" s="34">
        <f>SUM(ДАННЫЕ!AB13/ДАННЫЕ!$AB$23*$K$23/$Z$11)</f>
        <v>1092.6119123541253</v>
      </c>
      <c r="F13" s="34">
        <f>SUM(ДАННЫЕ!S13/ДАННЫЕ!$S$23*$L$23/$Z$11)</f>
        <v>0</v>
      </c>
      <c r="G13" s="34">
        <f>IF(ДАННЫЕ!T25&gt;0,(ДАННЫЕ!T13/ДАННЫЕ!$T$23*$M$23/$Z$11),-1*(ДАННЫЕ!T13/ДАННЫЕ!$T$23*$M$23/$Z$11))</f>
        <v>0</v>
      </c>
      <c r="H13" s="34">
        <f>SUM(ДАННЫЕ!U13/ДАННЫЕ!$U$23*$N$23/$Z$11)</f>
        <v>11.849571024230599</v>
      </c>
      <c r="I13" s="34">
        <f>SUM(ДАННЫЕ!AC13/ДАННЫЕ!$AC$23*$O$23/$Z$11)</f>
        <v>0</v>
      </c>
      <c r="J13" s="46">
        <f t="shared" si="2"/>
        <v>1104.4614833783558</v>
      </c>
      <c r="K13" s="35">
        <f>SUM(ДАННЫЕ!E13)</f>
        <v>302500</v>
      </c>
      <c r="L13" s="35">
        <f>SUM(ДАННЫЕ!F13)</f>
        <v>0</v>
      </c>
      <c r="M13" s="35">
        <f>SUM(ДАННЫЕ!G13)</f>
        <v>15000</v>
      </c>
      <c r="N13" s="35">
        <f>SUM(ДАННЫЕ!H13)</f>
        <v>16500</v>
      </c>
      <c r="O13" s="35">
        <f>SUM(ДАННЫЕ!I13)</f>
        <v>0</v>
      </c>
      <c r="P13" s="34">
        <f t="shared" si="3"/>
        <v>952.1065955193773</v>
      </c>
      <c r="Q13" s="41">
        <f t="shared" si="4"/>
        <v>0</v>
      </c>
      <c r="R13" s="34">
        <f t="shared" si="5"/>
        <v>5.428681990093587</v>
      </c>
      <c r="S13" s="34">
        <f t="shared" si="6"/>
        <v>134.187967439257</v>
      </c>
      <c r="T13" s="34">
        <f t="shared" si="7"/>
        <v>0</v>
      </c>
      <c r="U13" s="39">
        <f>SUM((0.4*ДАННЫЕ!V13+0.6*ДАННЫЕ!X13)/AA13)</f>
        <v>2661.279250508631</v>
      </c>
      <c r="V13" s="39">
        <f>SUM((0.4*ДАННЫЕ!J13+0.6*ДАННЫЕ!M13)/AA13)</f>
        <v>0</v>
      </c>
      <c r="W13" s="39">
        <f>SUM((0.4*ДАННЫЕ!K13+0.6*ДАННЫЕ!N13)/AA13)</f>
        <v>1.2936305732484077</v>
      </c>
      <c r="X13" s="39">
        <f>SUM((0.4*ДАННЫЕ!L13+0.6*ДАННЫЕ!O13)/AA13)</f>
        <v>35.15732484076434</v>
      </c>
      <c r="Y13" s="39">
        <f>SUM((0.4*ДАННЫЕ!W13+0.6*ДАННЫЕ!Y13)/AA13)</f>
        <v>0</v>
      </c>
      <c r="Z13" s="244"/>
      <c r="AA13" s="47">
        <f>SUM(ДАННЫЕ!B13)</f>
        <v>314</v>
      </c>
      <c r="AB13" s="49">
        <f t="shared" si="8"/>
        <v>0.42543553438982945</v>
      </c>
      <c r="AC13" s="38">
        <v>0.8</v>
      </c>
      <c r="AD13" s="48">
        <f t="shared" si="9"/>
        <v>0.5317944179872868</v>
      </c>
      <c r="AE13" s="34">
        <v>7146</v>
      </c>
      <c r="AF13" s="34">
        <f>SUM(AE13/ДАННЫЕ!B13)</f>
        <v>22.75796178343949</v>
      </c>
    </row>
    <row r="14" spans="1:32" ht="12.75">
      <c r="A14" s="12" t="s">
        <v>8</v>
      </c>
      <c r="B14" s="50">
        <f t="shared" si="0"/>
        <v>1.2063314661055433</v>
      </c>
      <c r="C14" s="34">
        <f t="shared" si="1"/>
        <v>4444.147244667587</v>
      </c>
      <c r="D14" s="237"/>
      <c r="E14" s="34">
        <f>SUM(ДАННЫЕ!AB14/ДАННЫЕ!$AB$23*$K$23/$Z$11)</f>
        <v>3013.858155235583</v>
      </c>
      <c r="F14" s="34">
        <f>SUM(ДАННЫЕ!S14/ДАННЫЕ!$S$23*$L$23/$Z$11)</f>
        <v>0.96244970006788</v>
      </c>
      <c r="G14" s="34">
        <f>IF(ДАННЫЕ!T26&gt;0,(ДАННЫЕ!T14/ДАННЫЕ!$T$23*$M$23/$Z$11),-1*(ДАННЫЕ!T14/ДАННЫЕ!$T$23*$M$23/$Z$11))</f>
        <v>-213.11805252225494</v>
      </c>
      <c r="H14" s="34">
        <f>SUM(ДАННЫЕ!U14/ДАННЫЕ!$U$23*$N$23/$Z$11)</f>
        <v>2385.5254573937314</v>
      </c>
      <c r="I14" s="34">
        <f>SUM(ДАННЫЕ!AC14/ДАННЫЕ!$AC$23*$O$23/$Z$11)</f>
        <v>2.8304181848094774</v>
      </c>
      <c r="J14" s="46">
        <f t="shared" si="2"/>
        <v>5190.058427991938</v>
      </c>
      <c r="K14" s="35">
        <f>SUM(ДАННЫЕ!E14)</f>
        <v>7342500</v>
      </c>
      <c r="L14" s="35">
        <f>SUM(ДАННЫЕ!F14)</f>
        <v>9000</v>
      </c>
      <c r="M14" s="35">
        <f>SUM(ДАННЫЕ!G14)</f>
        <v>420000</v>
      </c>
      <c r="N14" s="35">
        <f>SUM(ДАННЫЕ!H14)</f>
        <v>5940000</v>
      </c>
      <c r="O14" s="35">
        <f>SUM(ДАННЫЕ!I14)</f>
        <v>9000</v>
      </c>
      <c r="P14" s="34">
        <f t="shared" si="3"/>
        <v>2575.0818956801672</v>
      </c>
      <c r="Q14" s="41">
        <f t="shared" si="4"/>
        <v>2.4795813740023434</v>
      </c>
      <c r="R14" s="34">
        <f t="shared" si="5"/>
        <v>145.31245669791747</v>
      </c>
      <c r="S14" s="34">
        <f t="shared" si="6"/>
        <v>1721.2733109155001</v>
      </c>
      <c r="T14" s="34">
        <f t="shared" si="7"/>
        <v>0</v>
      </c>
      <c r="U14" s="39">
        <f>SUM((0.4*ДАННЫЕ!V14+0.6*ДАННЫЕ!X14)/AA14)</f>
        <v>7197.736103903071</v>
      </c>
      <c r="V14" s="39">
        <f>SUM((0.4*ДАННЫЕ!J14+0.6*ДАННЫЕ!M14)/AA14)</f>
        <v>1.2269662921348314</v>
      </c>
      <c r="W14" s="39">
        <f>SUM((0.4*ДАННЫЕ!K14+0.6*ДАННЫЕ!N14)/AA14)</f>
        <v>34.62730677562138</v>
      </c>
      <c r="X14" s="39">
        <f>SUM((0.4*ДАННЫЕ!L14+0.6*ДАННЫЕ!O14)/AA14)</f>
        <v>450.9745999319033</v>
      </c>
      <c r="Y14" s="39">
        <f>SUM((0.4*ДАННЫЕ!W14+0.6*ДАННЫЕ!Y14)/AA14)</f>
        <v>0</v>
      </c>
      <c r="Z14" s="244"/>
      <c r="AA14" s="47">
        <f>SUM(ДАННЫЕ!B14)</f>
        <v>2937</v>
      </c>
      <c r="AB14" s="49">
        <f t="shared" si="8"/>
        <v>0.3962194646657521</v>
      </c>
      <c r="AC14" s="38">
        <v>0.8</v>
      </c>
      <c r="AD14" s="48">
        <f t="shared" si="9"/>
        <v>0.4952743308321901</v>
      </c>
      <c r="AE14" s="34">
        <v>62250</v>
      </c>
      <c r="AF14" s="34">
        <f>SUM(AE14/ДАННЫЕ!B14)</f>
        <v>21.195097037793666</v>
      </c>
    </row>
    <row r="15" spans="1:32" ht="12.75">
      <c r="A15" s="12" t="s">
        <v>9</v>
      </c>
      <c r="B15" s="50">
        <f t="shared" si="0"/>
        <v>0.4509320773095322</v>
      </c>
      <c r="C15" s="34">
        <f t="shared" si="1"/>
        <v>1770.1565451766041</v>
      </c>
      <c r="D15" s="237"/>
      <c r="E15" s="34">
        <f>SUM(ДАННЫЕ!AB15/ДАННЫЕ!$AB$23*$K$23/$Z$11)</f>
        <v>1307.6447131115613</v>
      </c>
      <c r="F15" s="34">
        <f>SUM(ДАННЫЕ!S15/ДАННЫЕ!$S$23*$L$23/$Z$11)</f>
        <v>0.04857547385464699</v>
      </c>
      <c r="G15" s="34">
        <f>IF(ДАННЫЕ!T27&gt;0,(ДАННЫЕ!T15/ДАННЫЕ!$T$23*$M$23/$Z$11),-1*(ДАННЫЕ!T15/ДАННЫЕ!$T$23*$M$23/$Z$11))</f>
        <v>-25.454425633771656</v>
      </c>
      <c r="H15" s="34">
        <f>SUM(ДАННЫЕ!U15/ДАННЫЕ!$U$23*$N$23/$Z$11)</f>
        <v>-183.05136629995005</v>
      </c>
      <c r="I15" s="34">
        <f>SUM(ДАННЫЕ!AC15/ДАННЫЕ!$AC$23*$O$23/$Z$11)</f>
        <v>0</v>
      </c>
      <c r="J15" s="46">
        <f t="shared" si="2"/>
        <v>1099.1874966516941</v>
      </c>
      <c r="K15" s="35">
        <f>SUM(ДАННЫЕ!E15)</f>
        <v>977100</v>
      </c>
      <c r="L15" s="35">
        <f>SUM(ДАННЫЕ!F15)</f>
        <v>300</v>
      </c>
      <c r="M15" s="35">
        <f>SUM(ДАННЫЕ!G15)</f>
        <v>90000</v>
      </c>
      <c r="N15" s="35">
        <f>SUM(ДАННЫЕ!H15)</f>
        <v>363000</v>
      </c>
      <c r="O15" s="35">
        <f>SUM(ДАННЫЕ!I15)</f>
        <v>15000</v>
      </c>
      <c r="P15" s="34">
        <f t="shared" si="3"/>
        <v>1004.5949694274033</v>
      </c>
      <c r="Q15" s="41">
        <f t="shared" si="4"/>
        <v>1.4735557133105321</v>
      </c>
      <c r="R15" s="34">
        <f t="shared" si="5"/>
        <v>136.70077112536498</v>
      </c>
      <c r="S15" s="34">
        <f t="shared" si="6"/>
        <v>613.2672974705572</v>
      </c>
      <c r="T15" s="34">
        <f t="shared" si="7"/>
        <v>14.119951439968169</v>
      </c>
      <c r="U15" s="39">
        <f>SUM((0.4*ДАННЫЕ!V15+0.6*ДАННЫЕ!X15)/AA15)</f>
        <v>2807.99204614699</v>
      </c>
      <c r="V15" s="39">
        <f>SUM((0.4*ДАННЫЕ!J15+0.6*ДАННЫЕ!M15)/AA15)</f>
        <v>0.729156626506024</v>
      </c>
      <c r="W15" s="39">
        <f>SUM((0.4*ДАННЫЕ!K15+0.6*ДАННЫЕ!N15)/AA15)</f>
        <v>32.57518072289157</v>
      </c>
      <c r="X15" s="39">
        <f>SUM((0.4*ДАННЫЕ!L15+0.6*ДАННЫЕ!O15)/AA15)</f>
        <v>160.67638554216867</v>
      </c>
      <c r="Y15" s="39">
        <f>SUM((0.4*ДАННЫЕ!W15+0.6*ДАННЫЕ!Y15)/AA15)</f>
        <v>11.421686746987952</v>
      </c>
      <c r="Z15" s="244"/>
      <c r="AA15" s="47">
        <f>SUM(ДАННЫЕ!B15)</f>
        <v>830</v>
      </c>
      <c r="AB15" s="49">
        <f t="shared" si="8"/>
        <v>0.48464552657415716</v>
      </c>
      <c r="AC15" s="38">
        <v>0.8</v>
      </c>
      <c r="AD15" s="48">
        <f t="shared" si="9"/>
        <v>0.6058069082176964</v>
      </c>
      <c r="AE15" s="34">
        <v>21518</v>
      </c>
      <c r="AF15" s="34">
        <f>SUM(AE15/ДАННЫЕ!B15)</f>
        <v>25.925301204819277</v>
      </c>
    </row>
    <row r="16" spans="1:32" ht="12.75">
      <c r="A16" s="12" t="s">
        <v>10</v>
      </c>
      <c r="B16" s="50">
        <f t="shared" si="0"/>
        <v>0.4292955688587508</v>
      </c>
      <c r="C16" s="34">
        <f t="shared" si="1"/>
        <v>1606.5375968831925</v>
      </c>
      <c r="D16" s="237"/>
      <c r="E16" s="34">
        <f>SUM(ДАННЫЕ!AB16/ДАННЫЕ!$AB$23*$K$23/$Z$11)</f>
        <v>1659.1241506521649</v>
      </c>
      <c r="F16" s="34">
        <f>SUM(ДАННЫЕ!S16/ДАННЫЕ!$S$23*$L$23/$Z$11)</f>
        <v>10.319957075393134</v>
      </c>
      <c r="G16" s="34">
        <f>IF(ДАННЫЕ!T28&gt;0,(ДАННЫЕ!T16/ДАННЫЕ!$T$23*$M$23/$Z$11),-1*(ДАННЫЕ!T16/ДАННЫЕ!$T$23*$M$23/$Z$11))</f>
        <v>-75.35632491450558</v>
      </c>
      <c r="H16" s="34">
        <f>SUM(ДАННЫЕ!U16/ДАННЫЕ!$U$23*$N$23/$Z$11)</f>
        <v>27.808144646626907</v>
      </c>
      <c r="I16" s="34">
        <f>SUM(ДАННЫЕ!AC16/ДАННЫЕ!$AC$23*$O$23/$Z$11)</f>
        <v>0</v>
      </c>
      <c r="J16" s="46">
        <f t="shared" si="2"/>
        <v>1621.8959274596793</v>
      </c>
      <c r="K16" s="35">
        <f>SUM(ДАННЫЕ!E16)</f>
        <v>895800</v>
      </c>
      <c r="L16" s="35">
        <f>SUM(ДАННЫЕ!F16)</f>
        <v>9600</v>
      </c>
      <c r="M16" s="35">
        <f>SUM(ДАННЫЕ!G16)</f>
        <v>30000</v>
      </c>
      <c r="N16" s="35">
        <f>SUM(ДАННЫЕ!H16)</f>
        <v>40500</v>
      </c>
      <c r="O16" s="35">
        <f>SUM(ДАННЫЕ!I16)</f>
        <v>12000</v>
      </c>
      <c r="P16" s="34">
        <f t="shared" si="3"/>
        <v>1386.6686598104511</v>
      </c>
      <c r="Q16" s="41">
        <f t="shared" si="4"/>
        <v>33.22067748950789</v>
      </c>
      <c r="R16" s="34">
        <f t="shared" si="5"/>
        <v>45.42964609171892</v>
      </c>
      <c r="S16" s="34">
        <f t="shared" si="6"/>
        <v>108.70115977393043</v>
      </c>
      <c r="T16" s="34">
        <f t="shared" si="7"/>
        <v>32.51745371758418</v>
      </c>
      <c r="U16" s="39">
        <f>SUM((0.4*ДАННЫЕ!V16+0.6*ДАННЫЕ!X16)/AA16)</f>
        <v>3875.944719898813</v>
      </c>
      <c r="V16" s="39">
        <f>SUM((0.4*ДАННЫЕ!J16+0.6*ДАННЫЕ!M16)/AA16)</f>
        <v>16.43852140077821</v>
      </c>
      <c r="W16" s="39">
        <f>SUM((0.4*ДАННЫЕ!K16+0.6*ДАННЫЕ!N16)/AA16)</f>
        <v>10.825680933852139</v>
      </c>
      <c r="X16" s="39">
        <f>SUM((0.4*ДАННЫЕ!L16+0.6*ДАННЫЕ!O16)/AA16)</f>
        <v>28.47976653696498</v>
      </c>
      <c r="Y16" s="39">
        <f>SUM((0.4*ДАННЫЕ!W16+0.6*ДАННЫЕ!Y16)/AA16)</f>
        <v>26.30350194552529</v>
      </c>
      <c r="Z16" s="244"/>
      <c r="AA16" s="47">
        <f>SUM(ДАННЫЕ!B16)</f>
        <v>514</v>
      </c>
      <c r="AB16" s="49">
        <f t="shared" si="8"/>
        <v>0.33569044489510375</v>
      </c>
      <c r="AC16" s="38">
        <v>0.8</v>
      </c>
      <c r="AD16" s="48">
        <f t="shared" si="9"/>
        <v>0.41961305611887967</v>
      </c>
      <c r="AE16" s="34">
        <v>9230</v>
      </c>
      <c r="AF16" s="34">
        <f>SUM(AE16/ДАННЫЕ!B16)</f>
        <v>17.957198443579767</v>
      </c>
    </row>
    <row r="17" spans="1:32" ht="12.75">
      <c r="A17" s="12" t="s">
        <v>11</v>
      </c>
      <c r="B17" s="50">
        <f t="shared" si="0"/>
        <v>0.6714763020315381</v>
      </c>
      <c r="C17" s="34">
        <f t="shared" si="1"/>
        <v>2550.4498007779953</v>
      </c>
      <c r="D17" s="237"/>
      <c r="E17" s="34">
        <f>SUM(ДАННЫЕ!AB17/ДАННЫЕ!$AB$23*$K$23/$Z$11)</f>
        <v>1411.072419747417</v>
      </c>
      <c r="F17" s="34">
        <f>SUM(ДАННЫЕ!S17/ДАННЫЕ!$S$23*$L$23/$Z$11)</f>
        <v>0</v>
      </c>
      <c r="G17" s="34">
        <f>IF(ДАННЫЕ!T29&gt;0,(ДАННЫЕ!T17/ДАННЫЕ!$T$23*$M$23/$Z$11),-1*(ДАННЫЕ!T17/ДАННЫЕ!$T$23*$M$23/$Z$11))</f>
        <v>-48.44566514822393</v>
      </c>
      <c r="H17" s="34">
        <f>SUM(ДАННЫЕ!U17/ДАННЫЕ!$U$23*$N$23/$Z$11)</f>
        <v>1012.7202168876033</v>
      </c>
      <c r="I17" s="34">
        <f>SUM(ДАННЫЕ!AC17/ДАННЫЕ!$AC$23*$O$23/$Z$11)</f>
        <v>0</v>
      </c>
      <c r="J17" s="46">
        <f t="shared" si="2"/>
        <v>2375.346971486796</v>
      </c>
      <c r="K17" s="35">
        <f>SUM(ДАННЫЕ!E17)</f>
        <v>1208800</v>
      </c>
      <c r="L17" s="35">
        <f>SUM(ДАННЫЕ!F17)</f>
        <v>0</v>
      </c>
      <c r="M17" s="35">
        <f>SUM(ДАННЫЕ!G17)</f>
        <v>129000</v>
      </c>
      <c r="N17" s="35">
        <f>SUM(ДАННЫЕ!H17)</f>
        <v>735000</v>
      </c>
      <c r="O17" s="35">
        <f>SUM(ДАННЫЕ!I17)</f>
        <v>0</v>
      </c>
      <c r="P17" s="34">
        <f t="shared" si="3"/>
        <v>1517.6978751105707</v>
      </c>
      <c r="Q17" s="41">
        <f t="shared" si="4"/>
        <v>0</v>
      </c>
      <c r="R17" s="34">
        <f t="shared" si="5"/>
        <v>149.93603044609367</v>
      </c>
      <c r="S17" s="34">
        <f t="shared" si="6"/>
        <v>882.815895221331</v>
      </c>
      <c r="T17" s="34">
        <f t="shared" si="7"/>
        <v>0</v>
      </c>
      <c r="U17" s="39">
        <f>SUM((0.4*ДАННЫЕ!V17+0.6*ДАННЫЕ!X17)/AA17)</f>
        <v>4242.190824620329</v>
      </c>
      <c r="V17" s="39">
        <f>SUM((0.4*ДАННЫЕ!J17+0.6*ДАННЫЕ!M17)/AA17)</f>
        <v>0</v>
      </c>
      <c r="W17" s="39">
        <f>SUM((0.4*ДАННЫЕ!K17+0.6*ДАННЫЕ!N17)/AA17)</f>
        <v>35.72908366533864</v>
      </c>
      <c r="X17" s="39">
        <f>SUM((0.4*ДАННЫЕ!L17+0.6*ДАННЫЕ!O17)/AA17)</f>
        <v>231.29827357237716</v>
      </c>
      <c r="Y17" s="39">
        <f>SUM((0.4*ДАННЫЕ!W17+0.6*ДАННЫЕ!Y17)/AA17)</f>
        <v>0</v>
      </c>
      <c r="Z17" s="244"/>
      <c r="AA17" s="47">
        <f>SUM(ДАННЫЕ!B17)</f>
        <v>753</v>
      </c>
      <c r="AB17" s="49">
        <f t="shared" si="8"/>
        <v>0.8130490107668609</v>
      </c>
      <c r="AC17" s="38">
        <v>0.8</v>
      </c>
      <c r="AD17" s="48">
        <f t="shared" si="9"/>
        <v>1.016311263458576</v>
      </c>
      <c r="AE17" s="34">
        <v>32750</v>
      </c>
      <c r="AF17" s="34">
        <f>SUM(AE17/ДАННЫЕ!B17)</f>
        <v>43.49269588313413</v>
      </c>
    </row>
    <row r="18" spans="1:32" ht="12.75">
      <c r="A18" s="12" t="s">
        <v>13</v>
      </c>
      <c r="B18" s="50">
        <f t="shared" si="0"/>
        <v>1.4272542489100828</v>
      </c>
      <c r="C18" s="34">
        <f t="shared" si="1"/>
        <v>5408.123189928896</v>
      </c>
      <c r="D18" s="237"/>
      <c r="E18" s="34">
        <f>SUM(ДАННЫЕ!AB18/ДАННЫЕ!$AB$23*$K$23/$Z$11)</f>
        <v>4933.135853745238</v>
      </c>
      <c r="F18" s="34">
        <f>SUM(ДАННЫЕ!S18/ДАННЫЕ!$S$23*$L$23/$Z$11)</f>
        <v>4.915704413268682</v>
      </c>
      <c r="G18" s="34">
        <f>IF(ДАННЫЕ!T30&gt;0,(ДАННЫЕ!T18/ДАННЫЕ!$T$23*$M$23/$Z$11),-1*(ДАННЫЕ!T18/ДАННЫЕ!$T$23*$M$23/$Z$11))</f>
        <v>-97.77065296124067</v>
      </c>
      <c r="H18" s="34">
        <f>SUM(ДАННЫЕ!U18/ДАННЫЕ!$U$23*$N$23/$Z$11)</f>
        <v>332.9760725086293</v>
      </c>
      <c r="I18" s="34">
        <f>SUM(ДАННЫЕ!AC18/ДАННЫЕ!$AC$23*$O$23/$Z$11)</f>
        <v>0</v>
      </c>
      <c r="J18" s="46">
        <f t="shared" si="2"/>
        <v>5173.256977705895</v>
      </c>
      <c r="K18" s="35">
        <f>SUM(ДАННЫЕ!E18)</f>
        <v>7418100</v>
      </c>
      <c r="L18" s="35">
        <f>SUM(ДАННЫЕ!F18)</f>
        <v>24600</v>
      </c>
      <c r="M18" s="35">
        <f>SUM(ДАННЫЕ!G18)</f>
        <v>360000</v>
      </c>
      <c r="N18" s="35">
        <f>SUM(ДАННЫЕ!H18)</f>
        <v>540000</v>
      </c>
      <c r="O18" s="35">
        <f>SUM(ДАННЫЕ!I18)</f>
        <v>0</v>
      </c>
      <c r="P18" s="34">
        <f t="shared" si="3"/>
        <v>4762.53073214315</v>
      </c>
      <c r="Q18" s="41">
        <f t="shared" si="4"/>
        <v>35.25929256906985</v>
      </c>
      <c r="R18" s="34">
        <f t="shared" si="5"/>
        <v>220.29074036579988</v>
      </c>
      <c r="S18" s="34">
        <f t="shared" si="6"/>
        <v>390.04242485087605</v>
      </c>
      <c r="T18" s="34">
        <f t="shared" si="7"/>
        <v>0</v>
      </c>
      <c r="U18" s="39">
        <f>SUM((0.4*ДАННЫЕ!V18+0.6*ДАННЫЕ!X18)/AA18)</f>
        <v>13311.980273015864</v>
      </c>
      <c r="V18" s="39">
        <f>SUM((0.4*ДАННЫЕ!J18+0.6*ДАННЫЕ!M18)/AA18)</f>
        <v>17.447285223367697</v>
      </c>
      <c r="W18" s="39">
        <f>SUM((0.4*ДАННЫЕ!K18+0.6*ДАННЫЕ!N18)/AA18)</f>
        <v>52.49429553264605</v>
      </c>
      <c r="X18" s="39">
        <f>SUM((0.4*ДАННЫЕ!L18+0.6*ДАННЫЕ!O18)/AA18)</f>
        <v>102.19134020618556</v>
      </c>
      <c r="Y18" s="39">
        <f>SUM((0.4*ДАННЫЕ!W18+0.6*ДАННЫЕ!Y18)/AA18)</f>
        <v>0</v>
      </c>
      <c r="Z18" s="244"/>
      <c r="AA18" s="47">
        <f>SUM(ДАННЫЕ!B18)</f>
        <v>1455</v>
      </c>
      <c r="AB18" s="49">
        <f t="shared" si="8"/>
        <v>1.0674164517473652</v>
      </c>
      <c r="AC18" s="38">
        <v>0.8</v>
      </c>
      <c r="AD18" s="48">
        <f t="shared" si="9"/>
        <v>1.3342705646842066</v>
      </c>
      <c r="AE18" s="34">
        <v>83080</v>
      </c>
      <c r="AF18" s="34">
        <f>SUM(AE18/ДАННЫЕ!B18)</f>
        <v>57.09965635738832</v>
      </c>
    </row>
    <row r="19" spans="1:32" ht="12.75">
      <c r="A19" s="12" t="s">
        <v>12</v>
      </c>
      <c r="B19" s="50">
        <f t="shared" si="0"/>
        <v>2.1262183653574604</v>
      </c>
      <c r="C19" s="34">
        <f t="shared" si="1"/>
        <v>9084.288021191012</v>
      </c>
      <c r="D19" s="237"/>
      <c r="E19" s="34">
        <f>SUM(ДАННЫЕ!AB19/ДАННЫЕ!$AB$23*$K$23/$Z$11)</f>
        <v>5760.461846793904</v>
      </c>
      <c r="F19" s="34">
        <f>SUM(ДАННЫЕ!S19/ДАННЫЕ!$S$23*$L$23/$Z$11)</f>
        <v>60.64100628289378</v>
      </c>
      <c r="G19" s="34">
        <f>IF(ДАННЫЕ!T31&gt;0,(ДАННЫЕ!T19/ДАННЫЕ!$T$23*$M$23/$Z$11),-1*(ДАННЫЕ!T19/ДАННЫЕ!$T$23*$M$23/$Z$11))</f>
        <v>-323.0194167175096</v>
      </c>
      <c r="H19" s="34">
        <f>SUM(ДАННЫЕ!U19/ДАННЫЕ!$U$23*$N$23/$Z$11)</f>
        <v>1786.693056949299</v>
      </c>
      <c r="I19" s="34">
        <f>SUM(ДАННЫЕ!AC19/ДАННЫЕ!$AC$23*$O$23/$Z$11)</f>
        <v>0</v>
      </c>
      <c r="J19" s="46">
        <f t="shared" si="2"/>
        <v>7284.776493308587</v>
      </c>
      <c r="K19" s="35">
        <f>SUM(ДАННЫЕ!E19)</f>
        <v>11629900</v>
      </c>
      <c r="L19" s="35">
        <f>SUM(ДАННЫЕ!F19)</f>
        <v>45000</v>
      </c>
      <c r="M19" s="35">
        <f>SUM(ДАННЫЕ!G19)</f>
        <v>300000</v>
      </c>
      <c r="N19" s="35">
        <f>SUM(ДАННЫЕ!H19)</f>
        <v>3720000</v>
      </c>
      <c r="O19" s="35">
        <f>SUM(ДАННЫЕ!I19)</f>
        <v>0</v>
      </c>
      <c r="P19" s="34">
        <f t="shared" si="3"/>
        <v>6970.734831603723</v>
      </c>
      <c r="Q19" s="41">
        <f t="shared" si="4"/>
        <v>1.1955696601344195</v>
      </c>
      <c r="R19" s="34">
        <f t="shared" si="5"/>
        <v>197.62037559006265</v>
      </c>
      <c r="S19" s="34">
        <f t="shared" si="6"/>
        <v>1914.7372443370914</v>
      </c>
      <c r="T19" s="34">
        <f t="shared" si="7"/>
        <v>0</v>
      </c>
      <c r="U19" s="39">
        <f>SUM((0.4*ДАННЫЕ!V19+0.6*ДАННЫЕ!X19)/AA19)</f>
        <v>19484.23848279834</v>
      </c>
      <c r="V19" s="39">
        <f>SUM((0.4*ДАННЫЕ!J19+0.6*ДАННЫЕ!M19)/AA19)</f>
        <v>0.5916013437849944</v>
      </c>
      <c r="W19" s="39">
        <f>SUM((0.4*ДАННЫЕ!K19+0.6*ДАННЫЕ!N19)/AA19)</f>
        <v>47.092049272116455</v>
      </c>
      <c r="X19" s="39">
        <f>SUM((0.4*ДАННЫЕ!L19+0.6*ДАННЫЕ!O19)/AA19)</f>
        <v>501.66226203807395</v>
      </c>
      <c r="Y19" s="39">
        <f>SUM((0.4*ДАННЫЕ!W19+0.6*ДАННЫЕ!Y19)/AA19)</f>
        <v>0</v>
      </c>
      <c r="Z19" s="244"/>
      <c r="AA19" s="47">
        <f>SUM(ДАННЫЕ!B19)</f>
        <v>1786</v>
      </c>
      <c r="AB19" s="49">
        <f t="shared" si="8"/>
        <v>2.4918598638935525</v>
      </c>
      <c r="AC19" s="38">
        <v>0.8</v>
      </c>
      <c r="AD19" s="48">
        <f t="shared" si="9"/>
        <v>3.1148248298669405</v>
      </c>
      <c r="AE19" s="34">
        <v>238070</v>
      </c>
      <c r="AF19" s="34">
        <f>SUM(AE19/ДАННЫЕ!B19)</f>
        <v>133.29787234042553</v>
      </c>
    </row>
    <row r="20" spans="1:32" ht="12.75">
      <c r="A20" s="12" t="s">
        <v>14</v>
      </c>
      <c r="B20" s="50">
        <f t="shared" si="0"/>
        <v>0.34054302008408127</v>
      </c>
      <c r="C20" s="34">
        <f t="shared" si="1"/>
        <v>1260.566083760587</v>
      </c>
      <c r="D20" s="237"/>
      <c r="E20" s="34">
        <f>SUM(ДАННЫЕ!AB20/ДАННЫЕ!$AB$23*$K$23/$Z$11)</f>
        <v>1229.379062949292</v>
      </c>
      <c r="F20" s="34">
        <f>SUM(ДАННЫЕ!S20/ДАННЫЕ!$S$23*$L$23/$Z$11)</f>
        <v>39.85973291232591</v>
      </c>
      <c r="G20" s="34">
        <f>IF(ДАННЫЕ!T32&gt;0,(ДАННЫЕ!T20/ДАННЫЕ!$T$23*$M$23/$Z$11),-1*(ДАННЫЕ!T20/ДАННЫЕ!$T$23*$M$23/$Z$11))</f>
        <v>0</v>
      </c>
      <c r="H20" s="34">
        <f>SUM(ДАННЫЕ!U20/ДАННЫЕ!$U$23*$N$23/$Z$11)</f>
        <v>83.390534717194</v>
      </c>
      <c r="I20" s="34">
        <f>SUM(ДАННЫЕ!AC20/ДАННЫЕ!$AC$23*$O$23/$Z$11)</f>
        <v>25.263220013256028</v>
      </c>
      <c r="J20" s="46">
        <f t="shared" si="2"/>
        <v>1377.8925505920677</v>
      </c>
      <c r="K20" s="35">
        <f>SUM(ДАННЫЕ!E20)</f>
        <v>589500</v>
      </c>
      <c r="L20" s="35">
        <f>SUM(ДАННЫЕ!F20)</f>
        <v>45000</v>
      </c>
      <c r="M20" s="35">
        <f>SUM(ДАННЫЕ!G20)</f>
        <v>90000</v>
      </c>
      <c r="N20" s="35">
        <f>SUM(ДАННЫЕ!H20)</f>
        <v>75000</v>
      </c>
      <c r="O20" s="35">
        <f>SUM(ДАННЫЕ!I20)</f>
        <v>7000</v>
      </c>
      <c r="P20" s="34">
        <f t="shared" si="3"/>
        <v>909.1859623052095</v>
      </c>
      <c r="Q20" s="41">
        <f t="shared" si="4"/>
        <v>96.94811783737936</v>
      </c>
      <c r="R20" s="34">
        <f t="shared" si="5"/>
        <v>141.25116597183012</v>
      </c>
      <c r="S20" s="34">
        <f t="shared" si="6"/>
        <v>93.75746605562729</v>
      </c>
      <c r="T20" s="34">
        <f t="shared" si="7"/>
        <v>19.423371590540928</v>
      </c>
      <c r="U20" s="39">
        <f>SUM((0.4*ДАННЫЕ!V20+0.6*ДАННЫЕ!X20)/AA20)</f>
        <v>2541.3097101976045</v>
      </c>
      <c r="V20" s="39">
        <f>SUM((0.4*ДАННЫЕ!J20+0.6*ДАННЫЕ!M20)/AA20)</f>
        <v>47.97264325323475</v>
      </c>
      <c r="W20" s="39">
        <f>SUM((0.4*ДАННЫЕ!K20+0.6*ДАННЫЕ!N20)/AA20)</f>
        <v>33.659519408502774</v>
      </c>
      <c r="X20" s="39">
        <f>SUM((0.4*ДАННЫЕ!L20+0.6*ДАННЫЕ!O20)/AA20)</f>
        <v>24.5645101663586</v>
      </c>
      <c r="Y20" s="39">
        <f>SUM((0.4*ДАННЫЕ!W20+0.6*ДАННЫЕ!Y20)/AA20)</f>
        <v>15.711645101663587</v>
      </c>
      <c r="Z20" s="244"/>
      <c r="AA20" s="47">
        <f>SUM(ДАННЫЕ!B20)</f>
        <v>541</v>
      </c>
      <c r="AB20" s="49">
        <f t="shared" si="8"/>
        <v>0.5065672429555199</v>
      </c>
      <c r="AC20" s="38">
        <v>0.8</v>
      </c>
      <c r="AD20" s="48">
        <f t="shared" si="9"/>
        <v>0.6332090536943998</v>
      </c>
      <c r="AE20" s="34">
        <v>14660</v>
      </c>
      <c r="AF20" s="34">
        <f>SUM(AE20/ДАННЫЕ!B20)</f>
        <v>27.097966728280962</v>
      </c>
    </row>
    <row r="21" spans="1:32" ht="12.75">
      <c r="A21" s="12" t="s">
        <v>15</v>
      </c>
      <c r="B21" s="50">
        <f t="shared" si="0"/>
        <v>0.5466505983646822</v>
      </c>
      <c r="C21" s="34">
        <f t="shared" si="1"/>
        <v>2017.9465571177373</v>
      </c>
      <c r="D21" s="237"/>
      <c r="E21" s="34">
        <f>SUM(ДАННЫЕ!AB21/ДАННЫЕ!$AB$23*$K$23/$Z$11)</f>
        <v>1152.0337154928768</v>
      </c>
      <c r="F21" s="34">
        <f>SUM(ДАННЫЕ!S21/ДАННЫЕ!$S$23*$L$23/$Z$11)</f>
        <v>1.9645989673555</v>
      </c>
      <c r="G21" s="34">
        <f>IF(ДАННЫЕ!T33&gt;0,(ДАННЫЕ!T21/ДАННЫЕ!$T$23*$M$23/$Z$11),-1*(ДАННЫЕ!T21/ДАННЫЕ!$T$23*$M$23/$Z$11))</f>
        <v>-111.36620705546929</v>
      </c>
      <c r="H21" s="34">
        <f>SUM(ДАННЫЕ!U21/ДАННЫЕ!$U$23*$N$23/$Z$11)</f>
        <v>1232.6582397637023</v>
      </c>
      <c r="I21" s="34">
        <f>SUM(ДАННЫЕ!AC21/ДАННЫЕ!$AC$23*$O$23/$Z$11)</f>
        <v>0</v>
      </c>
      <c r="J21" s="46">
        <f t="shared" si="2"/>
        <v>2275.2903471684654</v>
      </c>
      <c r="K21" s="35">
        <f>SUM(ДАННЫЕ!E21)</f>
        <v>1883300</v>
      </c>
      <c r="L21" s="35">
        <f>SUM(ДАННЫЕ!F21)</f>
        <v>10500</v>
      </c>
      <c r="M21" s="35">
        <f>SUM(ДАННЫЕ!G21)</f>
        <v>180000</v>
      </c>
      <c r="N21" s="35">
        <f>SUM(ДАННЫЕ!H21)</f>
        <v>1470000</v>
      </c>
      <c r="O21" s="35">
        <f>SUM(ДАННЫЕ!I21)</f>
        <v>0</v>
      </c>
      <c r="P21" s="34">
        <f t="shared" si="3"/>
        <v>940.7217351213868</v>
      </c>
      <c r="Q21" s="41">
        <f t="shared" si="4"/>
        <v>10.39983175189752</v>
      </c>
      <c r="R21" s="34">
        <f t="shared" si="5"/>
        <v>89.18558626260808</v>
      </c>
      <c r="S21" s="34">
        <f t="shared" si="6"/>
        <v>977.6394039818449</v>
      </c>
      <c r="T21" s="34">
        <f t="shared" si="7"/>
        <v>0</v>
      </c>
      <c r="U21" s="39">
        <f>SUM((0.4*ДАННЫЕ!V21+0.6*ДАННЫЕ!X21)/AA21)</f>
        <v>2629.4568759030003</v>
      </c>
      <c r="V21" s="39">
        <f>SUM((0.4*ДАННЫЕ!J21+0.6*ДАННЫЕ!M21)/AA21)</f>
        <v>5.146127946127946</v>
      </c>
      <c r="W21" s="39">
        <f>SUM((0.4*ДАННЫЕ!K21+0.6*ДАННЫЕ!N21)/AA21)</f>
        <v>21.252525252525253</v>
      </c>
      <c r="X21" s="39">
        <f>SUM((0.4*ДАННЫЕ!L21+0.6*ДАННЫЕ!O21)/AA21)</f>
        <v>256.14208754208755</v>
      </c>
      <c r="Y21" s="39">
        <f>SUM((0.4*ДАННЫЕ!W21+0.6*ДАННЫЕ!Y21)/AA21)</f>
        <v>0</v>
      </c>
      <c r="Z21" s="244"/>
      <c r="AA21" s="47">
        <f>SUM(ДАННЫЕ!B21)</f>
        <v>1782</v>
      </c>
      <c r="AB21" s="49">
        <f t="shared" si="8"/>
        <v>0.45706741178590715</v>
      </c>
      <c r="AC21" s="38">
        <v>0.8</v>
      </c>
      <c r="AD21" s="48">
        <f t="shared" si="9"/>
        <v>0.5713342647323839</v>
      </c>
      <c r="AE21" s="34">
        <v>43570</v>
      </c>
      <c r="AF21" s="34">
        <f>SUM(AE21/ДАННЫЕ!B21)</f>
        <v>24.450056116722784</v>
      </c>
    </row>
    <row r="22" spans="1:32" ht="12.75">
      <c r="A22" s="12" t="s">
        <v>16</v>
      </c>
      <c r="B22" s="50">
        <f t="shared" si="0"/>
        <v>0.5483573080612397</v>
      </c>
      <c r="C22" s="34">
        <f t="shared" si="1"/>
        <v>2089.219141840306</v>
      </c>
      <c r="D22" s="238"/>
      <c r="E22" s="34">
        <f>SUM(ДАННЫЕ!AB22/ДАННЫЕ!$AB$23*$K$23/$Z$11)</f>
        <v>324.88221277701257</v>
      </c>
      <c r="F22" s="34">
        <f>SUM(ДАННЫЕ!S22/ДАННЫЕ!$S$23*$L$23/$Z$11)</f>
        <v>0</v>
      </c>
      <c r="G22" s="34">
        <f>IF(ДАННЫЕ!T34&gt;0,(ДАННЫЕ!T22/ДАННЫЕ!$T$23*$M$23/$Z$11),-1*(ДАННЫЕ!T22/ДАННЫЕ!$T$23*$M$23/$Z$11))</f>
        <v>-39.15769231302102</v>
      </c>
      <c r="H22" s="34">
        <f>SUM(ДАННЫЕ!U22/ДАННЫЕ!$U$23*$N$23/$Z$11)</f>
        <v>424.27020629045103</v>
      </c>
      <c r="I22" s="34">
        <f>SUM(ДАННЫЕ!AC22/ДАННЫЕ!$AC$23*$O$23/$Z$11)</f>
        <v>0</v>
      </c>
      <c r="J22" s="46">
        <f t="shared" si="2"/>
        <v>709.9947267544426</v>
      </c>
      <c r="K22" s="35">
        <f>SUM(ДАННЫЕ!E22)</f>
        <v>238700</v>
      </c>
      <c r="L22" s="35">
        <f>SUM(ДАННЫЕ!F22)</f>
        <v>0</v>
      </c>
      <c r="M22" s="35">
        <f>SUM(ДАННЫЕ!G22)</f>
        <v>165000</v>
      </c>
      <c r="N22" s="35">
        <f>SUM(ДАННЫЕ!H22)</f>
        <v>627000</v>
      </c>
      <c r="O22" s="35">
        <f>SUM(ДАННЫЕ!I22)</f>
        <v>0</v>
      </c>
      <c r="P22" s="34">
        <f t="shared" si="3"/>
        <v>413.374466528029</v>
      </c>
      <c r="Q22" s="41">
        <f t="shared" si="4"/>
        <v>0</v>
      </c>
      <c r="R22" s="34">
        <f t="shared" si="5"/>
        <v>286.54450069605576</v>
      </c>
      <c r="S22" s="34">
        <f t="shared" si="6"/>
        <v>1389.300174616221</v>
      </c>
      <c r="T22" s="34">
        <f t="shared" si="7"/>
        <v>0</v>
      </c>
      <c r="U22" s="39">
        <f>SUM((0.4*ДАННЫЕ!V22+0.6*ДАННЫЕ!X22)/AA22)</f>
        <v>1155.4429888819407</v>
      </c>
      <c r="V22" s="39">
        <f>SUM((0.4*ДАННЫЕ!J22+0.6*ДАННЫЕ!M22)/AA22)</f>
        <v>0</v>
      </c>
      <c r="W22" s="39">
        <f>SUM((0.4*ДАННЫЕ!K22+0.6*ДАННЫЕ!N22)/AA22)</f>
        <v>68.2822695035461</v>
      </c>
      <c r="X22" s="39">
        <f>SUM((0.4*ДАННЫЕ!L22+0.6*ДАННЫЕ!O22)/AA22)</f>
        <v>363.99744680851063</v>
      </c>
      <c r="Y22" s="39">
        <f>SUM((0.4*ДАННЫЕ!W22+0.6*ДАННЫЕ!Y22)/AA22)</f>
        <v>0</v>
      </c>
      <c r="Z22" s="244"/>
      <c r="AA22" s="47">
        <f>SUM(ДАННЫЕ!B22)</f>
        <v>705</v>
      </c>
      <c r="AB22" s="49">
        <f t="shared" si="8"/>
        <v>0.10288285471569017</v>
      </c>
      <c r="AC22" s="38">
        <v>0.8</v>
      </c>
      <c r="AD22" s="48">
        <f t="shared" si="9"/>
        <v>0.1286035683946127</v>
      </c>
      <c r="AE22" s="34">
        <v>3880</v>
      </c>
      <c r="AF22" s="34">
        <f>SUM(AE22/ДАННЫЕ!B22)</f>
        <v>5.50354609929078</v>
      </c>
    </row>
    <row r="23" spans="1:32" ht="12.75">
      <c r="A23" s="3" t="s">
        <v>2</v>
      </c>
      <c r="B23" s="38"/>
      <c r="C23" s="38"/>
      <c r="D23" s="38"/>
      <c r="E23" s="36"/>
      <c r="F23" s="36"/>
      <c r="G23" s="36"/>
      <c r="H23" s="36"/>
      <c r="I23" s="36"/>
      <c r="J23" s="51"/>
      <c r="K23" s="36">
        <f>SUM(K11:K22)</f>
        <v>35301900</v>
      </c>
      <c r="L23" s="36">
        <f>SUM(L11:L22)</f>
        <v>150000</v>
      </c>
      <c r="M23" s="36">
        <f>SUM(M11:M22)</f>
        <v>2163000</v>
      </c>
      <c r="N23" s="36">
        <f>SUM(N11:N22)</f>
        <v>14221500</v>
      </c>
      <c r="O23" s="36">
        <f>SUM(O11:O22)</f>
        <v>73000</v>
      </c>
      <c r="P23" s="38"/>
      <c r="Q23" s="38"/>
      <c r="R23" s="38"/>
      <c r="S23" s="38"/>
      <c r="T23" s="38"/>
      <c r="U23" s="40">
        <f>SUM((0.4*ДАННЫЕ!V23+0.6*ДАННЫЕ!X23)/AA23)</f>
        <v>7119.339839110167</v>
      </c>
      <c r="V23" s="40">
        <f>SUM((0.4*ДАННЫЕ!J23+0.6*ДАННЫЕ!M23)/AA23)</f>
        <v>5.355281385281385</v>
      </c>
      <c r="W23" s="40">
        <f>SUM((0.4*ДАННЫЕ!K23+0.6*ДАННЫЕ!N23)/AA23)</f>
        <v>37.188542568542566</v>
      </c>
      <c r="X23" s="40">
        <f>SUM((0.4*ДАННЫЕ!L23+0.6*ДАННЫЕ!O23)/AA23)</f>
        <v>268.8341414141414</v>
      </c>
      <c r="Y23" s="40">
        <f>SUM((0.4*ДАННЫЕ!W23+0.6*ДАННЫЕ!Y23)/AA23)</f>
        <v>4.2604617604617605</v>
      </c>
      <c r="Z23" s="38"/>
      <c r="AA23" s="36">
        <f>SUM(AA11:AA22)</f>
        <v>13860</v>
      </c>
      <c r="AB23" s="36"/>
      <c r="AC23" s="38"/>
      <c r="AD23" s="48"/>
      <c r="AE23" s="36">
        <f>SUM(AE11:AE22)</f>
        <v>593134</v>
      </c>
      <c r="AF23" s="36">
        <f>SUM(AE23/ДАННЫЕ!B23)</f>
        <v>42.79466089466089</v>
      </c>
    </row>
  </sheetData>
  <sheetProtection/>
  <mergeCells count="19">
    <mergeCell ref="A5:A9"/>
    <mergeCell ref="E5:I5"/>
    <mergeCell ref="E6:I6"/>
    <mergeCell ref="E7:I7"/>
    <mergeCell ref="Z11:Z22"/>
    <mergeCell ref="K9:O9"/>
    <mergeCell ref="P8:T8"/>
    <mergeCell ref="K5:O5"/>
    <mergeCell ref="K6:O6"/>
    <mergeCell ref="K8:O8"/>
    <mergeCell ref="P5:T5"/>
    <mergeCell ref="P6:T6"/>
    <mergeCell ref="U5:Y5"/>
    <mergeCell ref="U6:Y6"/>
    <mergeCell ref="V8:X8"/>
    <mergeCell ref="B2:F2"/>
    <mergeCell ref="AD4:AF4"/>
    <mergeCell ref="D11:D22"/>
    <mergeCell ref="AE5:AF5"/>
  </mergeCells>
  <printOptions/>
  <pageMargins left="0.4330708661417323" right="0.35433070866141736" top="0.7480314960629921" bottom="0.7480314960629921" header="0.31496062992125984" footer="0.31496062992125984"/>
  <pageSetup fitToWidth="2" fitToHeight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2"/>
  <sheetViews>
    <sheetView zoomScale="80" zoomScaleNormal="80" zoomScalePageLayoutView="0" workbookViewId="0" topLeftCell="A1">
      <pane xSplit="1" topLeftCell="R1" activePane="topRight" state="frozen"/>
      <selection pane="topLeft" activeCell="A1" sqref="A1"/>
      <selection pane="topRight" activeCell="E6" sqref="E6"/>
    </sheetView>
  </sheetViews>
  <sheetFormatPr defaultColWidth="9.00390625" defaultRowHeight="12.75"/>
  <cols>
    <col min="1" max="1" width="15.125" style="6" customWidth="1"/>
    <col min="2" max="2" width="27.75390625" style="6" customWidth="1"/>
    <col min="3" max="3" width="25.125" style="6" customWidth="1"/>
    <col min="4" max="4" width="33.00390625" style="6" customWidth="1"/>
    <col min="5" max="5" width="26.125" style="6" customWidth="1"/>
    <col min="6" max="6" width="24.875" style="6" customWidth="1"/>
    <col min="7" max="8" width="22.625" style="6" customWidth="1"/>
    <col min="9" max="9" width="23.25390625" style="6" customWidth="1"/>
    <col min="10" max="11" width="21.875" style="7" customWidth="1"/>
    <col min="12" max="12" width="29.125" style="6" customWidth="1"/>
    <col min="13" max="17" width="33.00390625" style="6" customWidth="1"/>
    <col min="18" max="21" width="30.875" style="6" customWidth="1"/>
    <col min="22" max="22" width="24.625" style="6" customWidth="1"/>
    <col min="23" max="23" width="26.00390625" style="6" customWidth="1"/>
    <col min="24" max="24" width="16.75390625" style="6" customWidth="1"/>
    <col min="25" max="16384" width="9.125" style="6" customWidth="1"/>
  </cols>
  <sheetData>
    <row r="1" ht="15.75" customHeight="1"/>
    <row r="2" spans="2:11" s="58" customFormat="1" ht="14.25">
      <c r="B2" s="222" t="s">
        <v>201</v>
      </c>
      <c r="C2" s="222"/>
      <c r="D2" s="222"/>
      <c r="J2" s="73"/>
      <c r="K2" s="73"/>
    </row>
    <row r="5" spans="1:23" s="10" customFormat="1" ht="143.25" customHeight="1">
      <c r="A5" s="250"/>
      <c r="B5" s="251" t="s">
        <v>185</v>
      </c>
      <c r="C5" s="252"/>
      <c r="D5" s="67" t="s">
        <v>187</v>
      </c>
      <c r="E5" s="71" t="s">
        <v>194</v>
      </c>
      <c r="F5" s="9" t="s">
        <v>73</v>
      </c>
      <c r="G5" s="9" t="s">
        <v>219</v>
      </c>
      <c r="H5" s="53" t="s">
        <v>224</v>
      </c>
      <c r="I5" s="71" t="s">
        <v>195</v>
      </c>
      <c r="J5" s="9" t="s">
        <v>222</v>
      </c>
      <c r="K5" s="9" t="s">
        <v>226</v>
      </c>
      <c r="L5" s="31" t="s">
        <v>229</v>
      </c>
      <c r="M5" s="71" t="s">
        <v>198</v>
      </c>
      <c r="N5" s="9" t="s">
        <v>74</v>
      </c>
      <c r="O5" s="9" t="s">
        <v>75</v>
      </c>
      <c r="P5" s="9" t="s">
        <v>45</v>
      </c>
      <c r="Q5" s="9" t="s">
        <v>46</v>
      </c>
      <c r="R5" s="67" t="s">
        <v>190</v>
      </c>
      <c r="S5" s="53" t="s">
        <v>51</v>
      </c>
      <c r="T5" s="53" t="s">
        <v>52</v>
      </c>
      <c r="U5" s="53" t="s">
        <v>78</v>
      </c>
      <c r="V5" s="37" t="s">
        <v>137</v>
      </c>
      <c r="W5" s="60" t="s">
        <v>206</v>
      </c>
    </row>
    <row r="6" spans="1:23" s="10" customFormat="1" ht="22.5" customHeight="1">
      <c r="A6" s="250"/>
      <c r="B6" s="53" t="s">
        <v>17</v>
      </c>
      <c r="C6" s="53"/>
      <c r="D6" s="67" t="s">
        <v>188</v>
      </c>
      <c r="E6" s="71" t="s">
        <v>199</v>
      </c>
      <c r="F6" s="9" t="s">
        <v>218</v>
      </c>
      <c r="G6" s="9" t="s">
        <v>225</v>
      </c>
      <c r="H6" s="53" t="s">
        <v>220</v>
      </c>
      <c r="I6" s="71" t="s">
        <v>196</v>
      </c>
      <c r="J6" s="9" t="s">
        <v>223</v>
      </c>
      <c r="K6" s="9" t="s">
        <v>227</v>
      </c>
      <c r="L6" s="31" t="s">
        <v>230</v>
      </c>
      <c r="M6" s="71" t="s">
        <v>197</v>
      </c>
      <c r="N6" s="9" t="s">
        <v>237</v>
      </c>
      <c r="O6" s="9" t="s">
        <v>238</v>
      </c>
      <c r="P6" s="9" t="s">
        <v>240</v>
      </c>
      <c r="Q6" s="9" t="s">
        <v>241</v>
      </c>
      <c r="R6" s="67" t="s">
        <v>191</v>
      </c>
      <c r="S6" s="53" t="s">
        <v>242</v>
      </c>
      <c r="T6" s="53" t="s">
        <v>243</v>
      </c>
      <c r="U6" s="53" t="s">
        <v>244</v>
      </c>
      <c r="V6" s="37" t="s">
        <v>139</v>
      </c>
      <c r="W6" s="60" t="s">
        <v>40</v>
      </c>
    </row>
    <row r="7" spans="1:23" s="10" customFormat="1" ht="175.5" customHeight="1">
      <c r="A7" s="250"/>
      <c r="B7" s="53" t="s">
        <v>186</v>
      </c>
      <c r="C7" s="53" t="s">
        <v>193</v>
      </c>
      <c r="D7" s="67" t="s">
        <v>189</v>
      </c>
      <c r="E7" s="71" t="s">
        <v>232</v>
      </c>
      <c r="F7" s="9" t="s">
        <v>111</v>
      </c>
      <c r="G7" s="9" t="s">
        <v>221</v>
      </c>
      <c r="H7" s="53" t="s">
        <v>233</v>
      </c>
      <c r="I7" s="71" t="s">
        <v>228</v>
      </c>
      <c r="J7" s="9" t="s">
        <v>221</v>
      </c>
      <c r="K7" s="9" t="s">
        <v>221</v>
      </c>
      <c r="L7" s="31" t="s">
        <v>203</v>
      </c>
      <c r="M7" s="71" t="s">
        <v>236</v>
      </c>
      <c r="N7" s="245" t="s">
        <v>101</v>
      </c>
      <c r="O7" s="245" t="s">
        <v>239</v>
      </c>
      <c r="P7" s="245" t="s">
        <v>101</v>
      </c>
      <c r="Q7" s="245" t="s">
        <v>239</v>
      </c>
      <c r="R7" s="67" t="s">
        <v>192</v>
      </c>
      <c r="S7" s="53" t="s">
        <v>245</v>
      </c>
      <c r="T7" s="53" t="s">
        <v>247</v>
      </c>
      <c r="U7" s="53" t="s">
        <v>248</v>
      </c>
      <c r="V7" s="53" t="s">
        <v>217</v>
      </c>
      <c r="W7" s="53" t="s">
        <v>217</v>
      </c>
    </row>
    <row r="8" spans="1:23" s="10" customFormat="1" ht="30">
      <c r="A8" s="250"/>
      <c r="B8" s="53" t="s">
        <v>254</v>
      </c>
      <c r="C8" s="53" t="s">
        <v>253</v>
      </c>
      <c r="D8" s="67" t="s">
        <v>251</v>
      </c>
      <c r="E8" s="71"/>
      <c r="F8" s="9"/>
      <c r="G8" s="9"/>
      <c r="H8" s="53"/>
      <c r="I8" s="71" t="s">
        <v>231</v>
      </c>
      <c r="J8" s="9"/>
      <c r="K8" s="9"/>
      <c r="L8" s="31"/>
      <c r="M8" s="71"/>
      <c r="N8" s="246"/>
      <c r="O8" s="246"/>
      <c r="P8" s="246"/>
      <c r="Q8" s="246"/>
      <c r="R8" s="67" t="s">
        <v>252</v>
      </c>
      <c r="S8" s="53" t="s">
        <v>246</v>
      </c>
      <c r="T8" s="53"/>
      <c r="U8" s="53"/>
      <c r="V8" s="53"/>
      <c r="W8" s="53"/>
    </row>
    <row r="9" spans="1:23" s="10" customFormat="1" ht="15">
      <c r="A9" s="250"/>
      <c r="B9" s="53">
        <v>1</v>
      </c>
      <c r="C9" s="53">
        <v>2</v>
      </c>
      <c r="D9" s="67">
        <v>3</v>
      </c>
      <c r="E9" s="71">
        <v>4</v>
      </c>
      <c r="F9" s="9">
        <v>5</v>
      </c>
      <c r="G9" s="9">
        <v>6</v>
      </c>
      <c r="H9" s="53">
        <v>7</v>
      </c>
      <c r="I9" s="71">
        <v>8</v>
      </c>
      <c r="J9" s="9">
        <v>9</v>
      </c>
      <c r="K9" s="9">
        <v>10</v>
      </c>
      <c r="L9" s="31">
        <v>11</v>
      </c>
      <c r="M9" s="71">
        <v>12</v>
      </c>
      <c r="N9" s="9">
        <v>13</v>
      </c>
      <c r="O9" s="9">
        <v>14</v>
      </c>
      <c r="P9" s="9">
        <v>15</v>
      </c>
      <c r="Q9" s="9">
        <v>16</v>
      </c>
      <c r="R9" s="67">
        <v>17</v>
      </c>
      <c r="S9" s="53">
        <v>18</v>
      </c>
      <c r="T9" s="53">
        <v>19</v>
      </c>
      <c r="U9" s="53">
        <v>20</v>
      </c>
      <c r="V9" s="53">
        <v>21</v>
      </c>
      <c r="W9" s="53">
        <v>22</v>
      </c>
    </row>
    <row r="10" spans="1:23" ht="15">
      <c r="A10" s="23" t="s">
        <v>5</v>
      </c>
      <c r="B10" s="92">
        <f>SUM(D10*R10*$V$22)/$C$22</f>
        <v>0.9392978158509274</v>
      </c>
      <c r="C10" s="77">
        <f>SUM(D10*R10*V10)</f>
        <v>1310.0561820375824</v>
      </c>
      <c r="D10" s="83">
        <f>SUM($C$26*E10+$C$27*I10+$C$28*M10)</f>
        <v>0.8318000000000001</v>
      </c>
      <c r="E10" s="78">
        <f>SUM(((F10+0.25*W10/V10)/(F10+0.25*$W$22/$V$22))*(G10/$H$10))</f>
        <v>1</v>
      </c>
      <c r="F10" s="69">
        <v>1.6</v>
      </c>
      <c r="G10" s="70">
        <v>1</v>
      </c>
      <c r="H10" s="253">
        <f>SUM(V10+V11+V12+V13+V14+V15+V16+V17+V18+V19+V20+V21)/V22</f>
        <v>1</v>
      </c>
      <c r="I10" s="74">
        <f>SUM(1+J10*L10/ЧИСЛЕННОСТЬ!B10)/(1+$K$10*$L$22/ЧИСЛЕННОСТЬ!$B$22)</f>
        <v>1</v>
      </c>
      <c r="J10" s="69">
        <v>0</v>
      </c>
      <c r="K10" s="256">
        <v>1.5</v>
      </c>
      <c r="L10" s="23">
        <v>0</v>
      </c>
      <c r="M10" s="81">
        <f>SUM(N10+P10)/($O$10+$Q$10)</f>
        <v>0.5052941176470588</v>
      </c>
      <c r="N10" s="80">
        <f>SUM(ДАННЫЕ!AF11)</f>
        <v>51.54</v>
      </c>
      <c r="O10" s="247">
        <f>SUM(ДАННЫЕ!AH11)</f>
        <v>93.3</v>
      </c>
      <c r="P10" s="79">
        <f>SUM(ДАННЫЕ!AG11)</f>
        <v>0</v>
      </c>
      <c r="Q10" s="247">
        <f>SUM(ДАННЫЕ!AI11)</f>
        <v>8.7</v>
      </c>
      <c r="R10" s="83">
        <f>SUM($C$30*S10+$C$31*T10+$C$32*U10)</f>
        <v>0.959759509261269</v>
      </c>
      <c r="S10" s="84">
        <f>SUM(0.2*(($V$22/12)/V10)+0.8)</f>
        <v>0.9407678244972578</v>
      </c>
      <c r="T10" s="82">
        <f>SUM(1+ЧИСЛЕННОСТЬ!C10/ЧИСЛЕННОСТЬ!F10)/(1+ЧИСЛЕННОСТЬ!$C$22/ЧИСЛЕННОСТЬ!$F$22)</f>
        <v>1</v>
      </c>
      <c r="U10" s="84">
        <f>SUM(1+ЧИСЛЕННОСТЬ!H10/ЧИСЛЕННОСТЬ!B10)/(1+ЧИСЛЕННОСТЬ!$H$22/ЧИСЛЕННОСТЬ!$B$22)</f>
        <v>0.9391356681681581</v>
      </c>
      <c r="V10" s="47">
        <f>SUM(ЧИСЛЕННОСТЬ!F10)</f>
        <v>1641</v>
      </c>
      <c r="W10" s="47">
        <f>SUM(ЧИСЛЕННОСТЬ!G10)</f>
        <v>1641</v>
      </c>
    </row>
    <row r="11" spans="1:23" ht="15">
      <c r="A11" s="23" t="s">
        <v>6</v>
      </c>
      <c r="B11" s="92">
        <f aca="true" t="shared" si="0" ref="B11:B21">SUM(D11*R11*$V$22)/$C$22</f>
        <v>1.1299360372099008</v>
      </c>
      <c r="C11" s="77">
        <f aca="true" t="shared" si="1" ref="C11:C21">SUM(D11*R11*V11)</f>
        <v>578.1338236661327</v>
      </c>
      <c r="D11" s="83">
        <f aca="true" t="shared" si="2" ref="D11:D21">SUM($C$26*E11+$C$27*I11+$C$28*M11)</f>
        <v>0.8150666666666667</v>
      </c>
      <c r="E11" s="78">
        <f aca="true" t="shared" si="3" ref="E11:E21">SUM(((F11+0.25*W11/V11)/(F11+0.25*$W$22/$V$22))*(G11/$H$10))</f>
        <v>1</v>
      </c>
      <c r="F11" s="69">
        <v>1.6</v>
      </c>
      <c r="G11" s="70">
        <v>1</v>
      </c>
      <c r="H11" s="254"/>
      <c r="I11" s="74">
        <f>SUM(1+J11*L11/ЧИСЛЕННОСТЬ!B11)/(1+$K$10*$L$22/ЧИСЛЕННОСТЬ!$B$22)</f>
        <v>1</v>
      </c>
      <c r="J11" s="69">
        <v>0</v>
      </c>
      <c r="K11" s="257"/>
      <c r="L11" s="23">
        <v>0</v>
      </c>
      <c r="M11" s="81">
        <f aca="true" t="shared" si="4" ref="M11:M21">SUM(N11+P11)/($O$10+$Q$10)</f>
        <v>0.45607843137254905</v>
      </c>
      <c r="N11" s="80">
        <f>SUM(ДАННЫЕ!AF12)</f>
        <v>46.52</v>
      </c>
      <c r="O11" s="248"/>
      <c r="P11" s="79">
        <f>SUM(ДАННЫЕ!AG12)</f>
        <v>0</v>
      </c>
      <c r="Q11" s="248"/>
      <c r="R11" s="83">
        <f aca="true" t="shared" si="5" ref="R11:R21">SUM($C$30*S11+$C$31*T11+$C$32*U11)</f>
        <v>1.1782535442673487</v>
      </c>
      <c r="S11" s="84">
        <f aca="true" t="shared" si="6" ref="S11:S21">SUM(0.2*(($V$22/12)/V11)+0.8)</f>
        <v>1.1837209302325582</v>
      </c>
      <c r="T11" s="82">
        <f>SUM(1+ЧИСЛЕННОСТЬ!C11/ЧИСЛЕННОСТЬ!F11)/(1+ЧИСЛЕННОСТЬ!$C$22/ЧИСЛЕННОСТЬ!$F$22)</f>
        <v>1</v>
      </c>
      <c r="U11" s="84">
        <f>SUM(1+ЧИСЛЕННОСТЬ!H11/ЧИСЛЕННОСТЬ!B11)/(1+ЧИСЛЕННОСТЬ!$H$22/ЧИСЛЕННОСТЬ!$B$22)</f>
        <v>1.3459577567370722</v>
      </c>
      <c r="V11" s="47">
        <f>SUM(ЧИСЛЕННОСТЬ!F11)</f>
        <v>602</v>
      </c>
      <c r="W11" s="47">
        <f>SUM(ЧИСЛЕННОСТЬ!G11)</f>
        <v>602</v>
      </c>
    </row>
    <row r="12" spans="1:23" ht="15">
      <c r="A12" s="23" t="s">
        <v>7</v>
      </c>
      <c r="B12" s="92">
        <f t="shared" si="0"/>
        <v>1.2388793379518566</v>
      </c>
      <c r="C12" s="77">
        <f t="shared" si="1"/>
        <v>330.62575814887106</v>
      </c>
      <c r="D12" s="83">
        <f t="shared" si="2"/>
        <v>0.8134666666666667</v>
      </c>
      <c r="E12" s="78">
        <f t="shared" si="3"/>
        <v>1</v>
      </c>
      <c r="F12" s="69">
        <v>1.6</v>
      </c>
      <c r="G12" s="70">
        <v>1</v>
      </c>
      <c r="H12" s="254"/>
      <c r="I12" s="74">
        <f>SUM(1+J12*L12/ЧИСЛЕННОСТЬ!B12)/(1+$K$10*$L$22/ЧИСЛЕННОСТЬ!$B$22)</f>
        <v>1</v>
      </c>
      <c r="J12" s="69">
        <v>0</v>
      </c>
      <c r="K12" s="257"/>
      <c r="L12" s="23">
        <v>0</v>
      </c>
      <c r="M12" s="81">
        <f t="shared" si="4"/>
        <v>0.4513725490196078</v>
      </c>
      <c r="N12" s="80">
        <f>SUM(ДАННЫЕ!AF13)</f>
        <v>46.04</v>
      </c>
      <c r="O12" s="248"/>
      <c r="P12" s="79">
        <f>SUM(ДАННЫЕ!AG13)</f>
        <v>0</v>
      </c>
      <c r="Q12" s="248"/>
      <c r="R12" s="83">
        <f t="shared" si="5"/>
        <v>1.2943963379275472</v>
      </c>
      <c r="S12" s="84">
        <f t="shared" si="6"/>
        <v>1.5356687898089172</v>
      </c>
      <c r="T12" s="82">
        <f>SUM(1+ЧИСЛЕННОСТЬ!C12/ЧИСЛЕННОСТЬ!F12)/(1+ЧИСЛЕННОСТЬ!$C$22/ЧИСЛЕННОСТЬ!$F$22)</f>
        <v>1</v>
      </c>
      <c r="U12" s="84">
        <f>SUM(1+ЧИСЛЕННОСТЬ!H12/ЧИСЛЕННОСТЬ!B12)/(1+ЧИСЛЕННОСТЬ!$H$22/ЧИСЛЕННОСТЬ!$B$22)</f>
        <v>1.3459577567370722</v>
      </c>
      <c r="V12" s="47">
        <f>SUM(ЧИСЛЕННОСТЬ!F12)</f>
        <v>314</v>
      </c>
      <c r="W12" s="47">
        <f>SUM(ЧИСЛЕННОСТЬ!G12)</f>
        <v>314</v>
      </c>
    </row>
    <row r="13" spans="1:23" ht="15">
      <c r="A13" s="23" t="s">
        <v>8</v>
      </c>
      <c r="B13" s="92">
        <f t="shared" si="0"/>
        <v>1.0783664135722528</v>
      </c>
      <c r="C13" s="77">
        <f t="shared" si="1"/>
        <v>2691.834325840641</v>
      </c>
      <c r="D13" s="83">
        <f t="shared" si="2"/>
        <v>0.9921333333333334</v>
      </c>
      <c r="E13" s="78">
        <f t="shared" si="3"/>
        <v>1</v>
      </c>
      <c r="F13" s="69">
        <v>1.6</v>
      </c>
      <c r="G13" s="70">
        <v>1</v>
      </c>
      <c r="H13" s="254"/>
      <c r="I13" s="74">
        <f>SUM(1+J13*L13/ЧИСЛЕННОСТЬ!B13)/(1+$K$10*$L$22/ЧИСЛЕННОСТЬ!$B$22)</f>
        <v>1</v>
      </c>
      <c r="J13" s="69">
        <v>0</v>
      </c>
      <c r="K13" s="257"/>
      <c r="L13" s="23">
        <v>0</v>
      </c>
      <c r="M13" s="81">
        <f t="shared" si="4"/>
        <v>0.9768627450980393</v>
      </c>
      <c r="N13" s="80">
        <f>SUM(ДАННЫЕ!AF14)</f>
        <v>98.86</v>
      </c>
      <c r="O13" s="248"/>
      <c r="P13" s="79">
        <f>SUM(ДАННЫЕ!AG14)</f>
        <v>0.78</v>
      </c>
      <c r="Q13" s="248"/>
      <c r="R13" s="83">
        <f t="shared" si="5"/>
        <v>0.9237923025933534</v>
      </c>
      <c r="S13" s="84">
        <f t="shared" si="6"/>
        <v>0.8786516853932584</v>
      </c>
      <c r="T13" s="82">
        <f>SUM(1+ЧИСЛЕННОСТЬ!C13/ЧИСЛЕННОСТЬ!F13)/(1+ЧИСЛЕННОСТЬ!$C$22/ЧИСЛЕННОСТЬ!$F$22)</f>
        <v>1</v>
      </c>
      <c r="U13" s="84">
        <f>SUM(1+ЧИСЛЕННОСТЬ!H13/ЧИСЛЕННОСТЬ!B13)/(1+ЧИСЛЕННОСТЬ!$H$22/ЧИСЛЕННОСТЬ!$B$22)</f>
        <v>0.8936389600399355</v>
      </c>
      <c r="V13" s="47">
        <f>SUM(ЧИСЛЕННОСТЬ!F13)</f>
        <v>2937</v>
      </c>
      <c r="W13" s="47">
        <f>SUM(ЧИСЛЕННОСТЬ!G13)</f>
        <v>2937</v>
      </c>
    </row>
    <row r="14" spans="1:23" ht="15">
      <c r="A14" s="23" t="s">
        <v>9</v>
      </c>
      <c r="B14" s="92">
        <f t="shared" si="0"/>
        <v>1.1151890887907643</v>
      </c>
      <c r="C14" s="77">
        <f t="shared" si="1"/>
        <v>786.6918143226512</v>
      </c>
      <c r="D14" s="83">
        <f t="shared" si="2"/>
        <v>0.8289000000000001</v>
      </c>
      <c r="E14" s="78">
        <f t="shared" si="3"/>
        <v>1</v>
      </c>
      <c r="F14" s="69">
        <v>1.6</v>
      </c>
      <c r="G14" s="70">
        <v>1</v>
      </c>
      <c r="H14" s="254"/>
      <c r="I14" s="74">
        <f>SUM(1+J14*L14/ЧИСЛЕННОСТЬ!B14)/(1+$K$10*$L$22/ЧИСЛЕННОСТЬ!$B$22)</f>
        <v>1</v>
      </c>
      <c r="J14" s="69">
        <v>0</v>
      </c>
      <c r="K14" s="257"/>
      <c r="L14" s="23">
        <v>0</v>
      </c>
      <c r="M14" s="81">
        <f t="shared" si="4"/>
        <v>0.49676470588235294</v>
      </c>
      <c r="N14" s="80">
        <f>SUM(ДАННЫЕ!AF15)</f>
        <v>50.4</v>
      </c>
      <c r="O14" s="248"/>
      <c r="P14" s="79">
        <f>SUM(ДАННЫЕ!AG15)</f>
        <v>0.27</v>
      </c>
      <c r="Q14" s="248"/>
      <c r="R14" s="83">
        <f t="shared" si="5"/>
        <v>1.1434690107845804</v>
      </c>
      <c r="S14" s="84">
        <f t="shared" si="6"/>
        <v>1.0783132530120483</v>
      </c>
      <c r="T14" s="82">
        <f>SUM(1+ЧИСЛЕННОСТЬ!C14/ЧИСЛЕННОСТЬ!F14)/(1+ЧИСЛЕННОСТЬ!$C$22/ЧИСЛЕННОСТЬ!$F$22)</f>
        <v>1</v>
      </c>
      <c r="U14" s="84">
        <f>SUM(1+ЧИСЛЕННОСТЬ!H14/ЧИСЛЕННОСТЬ!B14)/(1+ЧИСЛЕННОСТЬ!$H$22/ЧИСЛЕННОСТЬ!$B$22)</f>
        <v>1.3459577567370722</v>
      </c>
      <c r="V14" s="47">
        <f>SUM(ЧИСЛЕННОСТЬ!F14)</f>
        <v>830</v>
      </c>
      <c r="W14" s="47">
        <f>SUM(ЧИСЛЕННОСТЬ!G14)</f>
        <v>830</v>
      </c>
    </row>
    <row r="15" spans="1:23" ht="15">
      <c r="A15" s="23" t="s">
        <v>10</v>
      </c>
      <c r="B15" s="92">
        <f t="shared" si="0"/>
        <v>1.1508676785358936</v>
      </c>
      <c r="C15" s="77">
        <f t="shared" si="1"/>
        <v>502.76673998033516</v>
      </c>
      <c r="D15" s="83">
        <f t="shared" si="2"/>
        <v>0.8151666666666667</v>
      </c>
      <c r="E15" s="78">
        <f t="shared" si="3"/>
        <v>1</v>
      </c>
      <c r="F15" s="69">
        <v>1.6</v>
      </c>
      <c r="G15" s="70">
        <v>1</v>
      </c>
      <c r="H15" s="254"/>
      <c r="I15" s="74">
        <f>SUM(1+J15*L15/ЧИСЛЕННОСТЬ!B15)/(1+$K$10*$L$22/ЧИСЛЕННОСТЬ!$B$22)</f>
        <v>1</v>
      </c>
      <c r="J15" s="69">
        <v>0</v>
      </c>
      <c r="K15" s="257"/>
      <c r="L15" s="23">
        <v>0</v>
      </c>
      <c r="M15" s="81">
        <f t="shared" si="4"/>
        <v>0.45637254901960783</v>
      </c>
      <c r="N15" s="80">
        <f>SUM(ДАННЫЕ!AF16)</f>
        <v>46.55</v>
      </c>
      <c r="O15" s="248"/>
      <c r="P15" s="79">
        <f>SUM(ДАННЫЕ!AG16)</f>
        <v>0</v>
      </c>
      <c r="Q15" s="248"/>
      <c r="R15" s="83">
        <f t="shared" si="5"/>
        <v>1.1999330302867137</v>
      </c>
      <c r="S15" s="84">
        <f t="shared" si="6"/>
        <v>1.2494163424124514</v>
      </c>
      <c r="T15" s="82">
        <f>SUM(1+ЧИСЛЕННОСТЬ!C15/ЧИСЛЕННОСТЬ!F15)/(1+ЧИСЛЕННОСТЬ!$C$22/ЧИСЛЕННОСТЬ!$F$22)</f>
        <v>1</v>
      </c>
      <c r="U15" s="84">
        <f>SUM(1+ЧИСЛЕННОСТЬ!H15/ЧИСЛЕННОСТЬ!B15)/(1+ЧИСЛЕННОСТЬ!$H$22/ЧИСЛЕННОСТЬ!$B$22)</f>
        <v>1.3459577567370722</v>
      </c>
      <c r="V15" s="47">
        <f>SUM(ЧИСЛЕННОСТЬ!F15)</f>
        <v>514</v>
      </c>
      <c r="W15" s="47">
        <f>SUM(ЧИСЛЕННОСТЬ!G15)</f>
        <v>514</v>
      </c>
    </row>
    <row r="16" spans="1:23" ht="15">
      <c r="A16" s="23" t="s">
        <v>11</v>
      </c>
      <c r="B16" s="92">
        <f t="shared" si="0"/>
        <v>0.9436296955960345</v>
      </c>
      <c r="C16" s="77">
        <f t="shared" si="1"/>
        <v>603.913312272105</v>
      </c>
      <c r="D16" s="83">
        <f t="shared" si="2"/>
        <v>0.8371000000000001</v>
      </c>
      <c r="E16" s="78">
        <f t="shared" si="3"/>
        <v>1</v>
      </c>
      <c r="F16" s="69">
        <v>1.6</v>
      </c>
      <c r="G16" s="70">
        <v>1</v>
      </c>
      <c r="H16" s="254"/>
      <c r="I16" s="74">
        <f>SUM(1+J16*L16/ЧИСЛЕННОСТЬ!B16)/(1+$K$10*$L$22/ЧИСЛЕННОСТЬ!$B$22)</f>
        <v>1</v>
      </c>
      <c r="J16" s="69">
        <v>0</v>
      </c>
      <c r="K16" s="257"/>
      <c r="L16" s="23">
        <v>0</v>
      </c>
      <c r="M16" s="81">
        <f t="shared" si="4"/>
        <v>0.5208823529411765</v>
      </c>
      <c r="N16" s="80">
        <f>SUM(ДАННЫЕ!AF17)</f>
        <v>53.13</v>
      </c>
      <c r="O16" s="248"/>
      <c r="P16" s="79">
        <f>SUM(ДАННЫЕ!AG17)</f>
        <v>0</v>
      </c>
      <c r="Q16" s="248"/>
      <c r="R16" s="83">
        <f t="shared" si="5"/>
        <v>0.9580811263322531</v>
      </c>
      <c r="S16" s="84">
        <f t="shared" si="6"/>
        <v>1.1067729083665339</v>
      </c>
      <c r="T16" s="82">
        <f>SUM(1+ЧИСЛЕННОСТЬ!C16/ЧИСЛЕННОСТЬ!F16)/(1+ЧИСЛЕННОСТЬ!$C$22/ЧИСЛЕННОСТЬ!$F$22)</f>
        <v>1</v>
      </c>
      <c r="U16" s="84">
        <f>SUM(1+ЧИСЛЕННОСТЬ!H16/ЧИСЛЕННОСТЬ!B16)/(1+ЧИСЛЕННОСТЬ!$H$22/ЧИСЛЕННОСТЬ!$B$22)</f>
        <v>0.773076666386167</v>
      </c>
      <c r="V16" s="47">
        <f>SUM(ЧИСЛЕННОСТЬ!F16)</f>
        <v>753</v>
      </c>
      <c r="W16" s="47">
        <f>SUM(ЧИСЛЕННОСТЬ!G16)</f>
        <v>753</v>
      </c>
    </row>
    <row r="17" spans="1:23" ht="15">
      <c r="A17" s="23" t="s">
        <v>13</v>
      </c>
      <c r="B17" s="92">
        <f t="shared" si="0"/>
        <v>0.8355477612876473</v>
      </c>
      <c r="C17" s="77">
        <f t="shared" si="1"/>
        <v>1033.266384442826</v>
      </c>
      <c r="D17" s="83">
        <f t="shared" si="2"/>
        <v>0.7906666666666666</v>
      </c>
      <c r="E17" s="78">
        <f t="shared" si="3"/>
        <v>1</v>
      </c>
      <c r="F17" s="69">
        <v>1.6</v>
      </c>
      <c r="G17" s="70">
        <v>1</v>
      </c>
      <c r="H17" s="254"/>
      <c r="I17" s="74">
        <f>SUM(1+J17*L17/ЧИСЛЕННОСТЬ!B17)/(1+$K$10*$L$22/ЧИСЛЕННОСТЬ!$B$22)</f>
        <v>1</v>
      </c>
      <c r="J17" s="69">
        <v>0</v>
      </c>
      <c r="K17" s="257"/>
      <c r="L17" s="23">
        <v>0</v>
      </c>
      <c r="M17" s="81">
        <f t="shared" si="4"/>
        <v>0.38431372549019605</v>
      </c>
      <c r="N17" s="80">
        <f>SUM(ДАННЫЕ!AF18)</f>
        <v>39.15</v>
      </c>
      <c r="O17" s="248"/>
      <c r="P17" s="79">
        <f>SUM(ДАННЫЕ!AG18)</f>
        <v>0.05</v>
      </c>
      <c r="Q17" s="248"/>
      <c r="R17" s="83">
        <f t="shared" si="5"/>
        <v>0.8981644829217381</v>
      </c>
      <c r="S17" s="84">
        <f t="shared" si="6"/>
        <v>0.9587628865979382</v>
      </c>
      <c r="T17" s="82">
        <f>SUM(1+ЧИСЛЕННОСТЬ!C17/ЧИСЛЕННОСТЬ!F17)/(1+ЧИСЛЕННОСТЬ!$C$22/ЧИСЛЕННОСТЬ!$F$22)</f>
        <v>1</v>
      </c>
      <c r="U17" s="84">
        <f>SUM(1+ЧИСЛЕННОСТЬ!H17/ЧИСЛЕННОСТЬ!B17)/(1+ЧИСЛЕННОСТЬ!$H$22/ЧИСЛЕННОСТЬ!$B$22)</f>
        <v>0.7405080304247603</v>
      </c>
      <c r="V17" s="47">
        <f>SUM(ЧИСЛЕННОСТЬ!F17)</f>
        <v>1455</v>
      </c>
      <c r="W17" s="47">
        <f>SUM(ЧИСЛЕННОСТЬ!G17)</f>
        <v>1455</v>
      </c>
    </row>
    <row r="18" spans="1:23" ht="15">
      <c r="A18" s="23" t="s">
        <v>12</v>
      </c>
      <c r="B18" s="92">
        <f t="shared" si="0"/>
        <v>0.9747856384357216</v>
      </c>
      <c r="C18" s="77">
        <f t="shared" si="1"/>
        <v>1479.6827264863805</v>
      </c>
      <c r="D18" s="83">
        <f t="shared" si="2"/>
        <v>0.8315666666666668</v>
      </c>
      <c r="E18" s="78">
        <f t="shared" si="3"/>
        <v>1</v>
      </c>
      <c r="F18" s="69">
        <v>1.6</v>
      </c>
      <c r="G18" s="70">
        <v>1</v>
      </c>
      <c r="H18" s="254"/>
      <c r="I18" s="74">
        <f>SUM(1+J18*L18/ЧИСЛЕННОСТЬ!B18)/(1+$K$10*$L$22/ЧИСЛЕННОСТЬ!$B$22)</f>
        <v>1</v>
      </c>
      <c r="J18" s="69">
        <v>0</v>
      </c>
      <c r="K18" s="257"/>
      <c r="L18" s="23">
        <v>0</v>
      </c>
      <c r="M18" s="81">
        <f t="shared" si="4"/>
        <v>0.5046078431372549</v>
      </c>
      <c r="N18" s="80">
        <f>SUM(ДАННЫЕ!AF19)</f>
        <v>50.24</v>
      </c>
      <c r="O18" s="248"/>
      <c r="P18" s="79">
        <f>SUM(ДАННЫЕ!AG19)</f>
        <v>1.23</v>
      </c>
      <c r="Q18" s="248"/>
      <c r="R18" s="83">
        <f t="shared" si="5"/>
        <v>0.996299877904459</v>
      </c>
      <c r="S18" s="84">
        <f t="shared" si="6"/>
        <v>0.9293393057110862</v>
      </c>
      <c r="T18" s="82">
        <f>SUM(1+ЧИСЛЕННОСТЬ!C18/ЧИСЛЕННОСТЬ!F18)/(1+ЧИСЛЕННОСТЬ!$C$22/ЧИСЛЕННОСТЬ!$F$22)</f>
        <v>1</v>
      </c>
      <c r="U18" s="84">
        <f>SUM(1+ЧИСЛЕННОСТЬ!H18/ЧИСЛЕННОСТЬ!B18)/(1+ЧИСЛЕННОСТЬ!$H$22/ЧИСЛЕННОСТЬ!$B$22)</f>
        <v>1.0576997265288246</v>
      </c>
      <c r="V18" s="47">
        <f>SUM(ЧИСЛЕННОСТЬ!F18)</f>
        <v>1786</v>
      </c>
      <c r="W18" s="47">
        <f>SUM(ЧИСЛЕННОСТЬ!G18)</f>
        <v>1786</v>
      </c>
    </row>
    <row r="19" spans="1:23" ht="15">
      <c r="A19" s="23" t="s">
        <v>14</v>
      </c>
      <c r="B19" s="92">
        <f t="shared" si="0"/>
        <v>1.1645814716202714</v>
      </c>
      <c r="C19" s="77">
        <f t="shared" si="1"/>
        <v>535.4823599126003</v>
      </c>
      <c r="D19" s="83">
        <f t="shared" si="2"/>
        <v>0.8300000000000001</v>
      </c>
      <c r="E19" s="78">
        <f t="shared" si="3"/>
        <v>1</v>
      </c>
      <c r="F19" s="69">
        <v>1.6</v>
      </c>
      <c r="G19" s="70">
        <v>1</v>
      </c>
      <c r="H19" s="254"/>
      <c r="I19" s="74">
        <f>SUM(1+J19*L19/ЧИСЛЕННОСТЬ!B19)/(1+$K$10*$L$22/ЧИСЛЕННОСТЬ!$B$22)</f>
        <v>1</v>
      </c>
      <c r="J19" s="69">
        <v>0</v>
      </c>
      <c r="K19" s="257"/>
      <c r="L19" s="23">
        <v>0</v>
      </c>
      <c r="M19" s="81">
        <f t="shared" si="4"/>
        <v>0.5</v>
      </c>
      <c r="N19" s="80">
        <f>SUM(ДАННЫЕ!AF20)</f>
        <v>51</v>
      </c>
      <c r="O19" s="248"/>
      <c r="P19" s="79">
        <f>SUM(ДАННЫЕ!AG20)</f>
        <v>0</v>
      </c>
      <c r="Q19" s="248"/>
      <c r="R19" s="83">
        <f t="shared" si="5"/>
        <v>1.1925313674199947</v>
      </c>
      <c r="S19" s="84">
        <f t="shared" si="6"/>
        <v>1.2269870609981517</v>
      </c>
      <c r="T19" s="82">
        <f>SUM(1+ЧИСЛЕННОСТЬ!C19/ЧИСЛЕННОСТЬ!F19)/(1+ЧИСЛЕННОСТЬ!$C$22/ЧИСЛЕННОСТЬ!$F$22)</f>
        <v>1</v>
      </c>
      <c r="U19" s="84">
        <f>SUM(1+ЧИСЛЕННОСТЬ!H19/ЧИСЛЕННОСТЬ!B19)/(1+ЧИСЛЕННОСТЬ!$H$22/ЧИСЛЕННОСТЬ!$B$22)</f>
        <v>1.3459577567370722</v>
      </c>
      <c r="V19" s="47">
        <f>SUM(ЧИСЛЕННОСТЬ!F19)</f>
        <v>541</v>
      </c>
      <c r="W19" s="47">
        <f>SUM(ЧИСЛЕННОСТЬ!G19)</f>
        <v>541</v>
      </c>
    </row>
    <row r="20" spans="1:23" ht="15">
      <c r="A20" s="23" t="s">
        <v>15</v>
      </c>
      <c r="B20" s="92">
        <f t="shared" si="0"/>
        <v>0.8297548125584566</v>
      </c>
      <c r="C20" s="77">
        <f t="shared" si="1"/>
        <v>1256.7112620138385</v>
      </c>
      <c r="D20" s="83">
        <f t="shared" si="2"/>
        <v>0.7758333333333334</v>
      </c>
      <c r="E20" s="78">
        <f t="shared" si="3"/>
        <v>1</v>
      </c>
      <c r="F20" s="69">
        <v>1.6</v>
      </c>
      <c r="G20" s="70">
        <v>1</v>
      </c>
      <c r="H20" s="254"/>
      <c r="I20" s="74">
        <f>SUM(1+J20*L20/ЧИСЛЕННОСТЬ!B20)/(1+$K$10*$L$22/ЧИСЛЕННОСТЬ!$B$22)</f>
        <v>1</v>
      </c>
      <c r="J20" s="69">
        <v>0</v>
      </c>
      <c r="K20" s="257"/>
      <c r="L20" s="23">
        <v>0</v>
      </c>
      <c r="M20" s="81">
        <f t="shared" si="4"/>
        <v>0.34068627450980393</v>
      </c>
      <c r="N20" s="80">
        <f>SUM(ДАННЫЕ!AF21)</f>
        <v>34.75</v>
      </c>
      <c r="O20" s="248"/>
      <c r="P20" s="79">
        <f>SUM(ДАННЫЕ!AG21)</f>
        <v>0</v>
      </c>
      <c r="Q20" s="248"/>
      <c r="R20" s="83">
        <f t="shared" si="5"/>
        <v>0.908990558657711</v>
      </c>
      <c r="S20" s="84">
        <f t="shared" si="6"/>
        <v>0.9296296296296297</v>
      </c>
      <c r="T20" s="82">
        <f>SUM(1+ЧИСЛЕННОСТЬ!C20/ЧИСЛЕННОСТЬ!F20)/(1+ЧИСЛЕННОСТЬ!$C$22/ЧИСЛЕННОСТЬ!$F$22)</f>
        <v>1</v>
      </c>
      <c r="U20" s="84">
        <f>SUM(1+ЧИСЛЕННОСТЬ!H20/ЧИСЛЕННОСТЬ!B20)/(1+ЧИСЛЕННОСТЬ!$H$22/ЧИСЛЕННОСТЬ!$B$22)</f>
        <v>0.8006258261174503</v>
      </c>
      <c r="V20" s="47">
        <f>SUM(ЧИСЛЕННОСТЬ!F20)</f>
        <v>1782</v>
      </c>
      <c r="W20" s="47">
        <f>SUM(ЧИСЛЕННОСТЬ!G20)</f>
        <v>1782</v>
      </c>
    </row>
    <row r="21" spans="1:23" ht="15">
      <c r="A21" s="23" t="s">
        <v>16</v>
      </c>
      <c r="B21" s="92">
        <f t="shared" si="0"/>
        <v>1.1193810421512331</v>
      </c>
      <c r="C21" s="77">
        <f t="shared" si="1"/>
        <v>670.7259229424619</v>
      </c>
      <c r="D21" s="83">
        <f t="shared" si="2"/>
        <v>0.8203333333333334</v>
      </c>
      <c r="E21" s="78">
        <f t="shared" si="3"/>
        <v>1</v>
      </c>
      <c r="F21" s="69">
        <v>1.6</v>
      </c>
      <c r="G21" s="70">
        <v>1</v>
      </c>
      <c r="H21" s="255"/>
      <c r="I21" s="74">
        <f>SUM(1+J21*L21/ЧИСЛЕННОСТЬ!B21)/(1+$K$10*$L$22/ЧИСЛЕННОСТЬ!$B$22)</f>
        <v>1</v>
      </c>
      <c r="J21" s="69">
        <v>0</v>
      </c>
      <c r="K21" s="258"/>
      <c r="L21" s="23">
        <v>0</v>
      </c>
      <c r="M21" s="81">
        <f t="shared" si="4"/>
        <v>0.4715686274509804</v>
      </c>
      <c r="N21" s="80">
        <f>SUM(ДАННЫЕ!AF22)</f>
        <v>48.1</v>
      </c>
      <c r="O21" s="249"/>
      <c r="P21" s="79">
        <f>SUM(ДАННЫЕ!AG22)</f>
        <v>0</v>
      </c>
      <c r="Q21" s="249"/>
      <c r="R21" s="83">
        <f t="shared" si="5"/>
        <v>1.1597532968650728</v>
      </c>
      <c r="S21" s="84">
        <f t="shared" si="6"/>
        <v>1.127659574468085</v>
      </c>
      <c r="T21" s="82">
        <f>SUM(1+ЧИСЛЕННОСТЬ!C21/ЧИСЛЕННОСТЬ!F21)/(1+ЧИСЛЕННОСТЬ!$C$22/ЧИСЛЕННОСТЬ!$F$22)</f>
        <v>1</v>
      </c>
      <c r="U21" s="84">
        <f>SUM(1+ЧИСЛЕННОСТЬ!H21/ЧИСЛЕННОСТЬ!B21)/(1+ЧИСЛЕННОСТЬ!$H$22/ЧИСЛЕННОСТЬ!$B$22)</f>
        <v>1.3459577567370722</v>
      </c>
      <c r="V21" s="47">
        <f>SUM(ЧИСЛЕННОСТЬ!F21)</f>
        <v>705</v>
      </c>
      <c r="W21" s="47">
        <f>SUM(ЧИСЛЕННОСТЬ!G21)</f>
        <v>705</v>
      </c>
    </row>
    <row r="22" spans="1:23" ht="15">
      <c r="A22" s="24" t="s">
        <v>2</v>
      </c>
      <c r="B22" s="54"/>
      <c r="C22" s="91">
        <f>SUM(C10+C11+C12+C13+C14+C15+C16+C17+C18+C19+C20+C21)</f>
        <v>11779.890612066425</v>
      </c>
      <c r="D22" s="68"/>
      <c r="E22" s="75"/>
      <c r="F22" s="69"/>
      <c r="G22" s="69"/>
      <c r="H22" s="54"/>
      <c r="I22" s="72"/>
      <c r="J22" s="69"/>
      <c r="K22" s="69"/>
      <c r="L22" s="36">
        <f>SUM(L10:L21)</f>
        <v>0</v>
      </c>
      <c r="M22" s="72"/>
      <c r="N22" s="69"/>
      <c r="O22" s="69"/>
      <c r="P22" s="69"/>
      <c r="Q22" s="69"/>
      <c r="R22" s="68"/>
      <c r="S22" s="54"/>
      <c r="T22" s="54"/>
      <c r="U22" s="54"/>
      <c r="V22" s="36">
        <f>SUM(V10:V21)</f>
        <v>13860</v>
      </c>
      <c r="W22" s="36">
        <f>SUM(W10:W21)</f>
        <v>13860</v>
      </c>
    </row>
    <row r="24" spans="2:3" ht="15">
      <c r="B24" s="223" t="s">
        <v>256</v>
      </c>
      <c r="C24" s="223"/>
    </row>
    <row r="25" spans="2:3" ht="15">
      <c r="B25" s="54" t="s">
        <v>234</v>
      </c>
      <c r="C25" s="77">
        <f>SUM(C26+C27+C28)</f>
        <v>1</v>
      </c>
    </row>
    <row r="26" spans="2:3" ht="15">
      <c r="B26" s="23" t="s">
        <v>41</v>
      </c>
      <c r="C26" s="76">
        <f>SUM('Распределение дотации'!C29)</f>
        <v>0.33</v>
      </c>
    </row>
    <row r="27" spans="2:3" ht="15">
      <c r="B27" s="23" t="s">
        <v>42</v>
      </c>
      <c r="C27" s="76">
        <f>SUM('Распределение дотации'!C30)</f>
        <v>0.33</v>
      </c>
    </row>
    <row r="28" spans="2:3" ht="15">
      <c r="B28" s="23" t="s">
        <v>43</v>
      </c>
      <c r="C28" s="76">
        <f>SUM('Распределение дотации'!C31)</f>
        <v>0.34</v>
      </c>
    </row>
    <row r="29" spans="2:3" ht="15">
      <c r="B29" s="54" t="s">
        <v>235</v>
      </c>
      <c r="C29" s="77">
        <f>SUM(C30+C31+C32)</f>
        <v>1</v>
      </c>
    </row>
    <row r="30" spans="2:3" ht="15">
      <c r="B30" s="23" t="s">
        <v>48</v>
      </c>
      <c r="C30" s="76">
        <f>SUM('Распределение дотации'!C33)</f>
        <v>0.33</v>
      </c>
    </row>
    <row r="31" spans="2:3" ht="15">
      <c r="B31" s="23" t="s">
        <v>49</v>
      </c>
      <c r="C31" s="76">
        <f>SUM('Распределение дотации'!C34)</f>
        <v>0.33</v>
      </c>
    </row>
    <row r="32" spans="2:3" ht="15">
      <c r="B32" s="23" t="s">
        <v>50</v>
      </c>
      <c r="C32" s="76">
        <f>SUM('Распределение дотации'!C35)</f>
        <v>0.34</v>
      </c>
    </row>
  </sheetData>
  <sheetProtection/>
  <mergeCells count="12">
    <mergeCell ref="A5:A9"/>
    <mergeCell ref="B5:C5"/>
    <mergeCell ref="B2:D2"/>
    <mergeCell ref="H10:H21"/>
    <mergeCell ref="K10:K21"/>
    <mergeCell ref="B24:C24"/>
    <mergeCell ref="N7:N8"/>
    <mergeCell ref="O7:O8"/>
    <mergeCell ref="P7:P8"/>
    <mergeCell ref="Q7:Q8"/>
    <mergeCell ref="O10:O21"/>
    <mergeCell ref="Q10:Q21"/>
  </mergeCells>
  <printOptions/>
  <pageMargins left="0.2362204724409449" right="0.31496062992125984" top="0.7480314960629921" bottom="0.7480314960629921" header="0.31496062992125984" footer="0.31496062992125984"/>
  <pageSetup fitToWidth="2" fitToHeight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zoomScalePageLayoutView="0" workbookViewId="0" topLeftCell="A4">
      <pane xSplit="1" topLeftCell="B1" activePane="topRight" state="frozen"/>
      <selection pane="topLeft" activeCell="A1" sqref="A1"/>
      <selection pane="topRight" activeCell="E14" sqref="E14"/>
    </sheetView>
  </sheetViews>
  <sheetFormatPr defaultColWidth="9.00390625" defaultRowHeight="12.75"/>
  <cols>
    <col min="1" max="1" width="15.125" style="6" customWidth="1"/>
    <col min="2" max="2" width="19.875" style="6" customWidth="1"/>
    <col min="3" max="3" width="25.125" style="6" customWidth="1"/>
    <col min="4" max="5" width="23.75390625" style="6" customWidth="1"/>
    <col min="6" max="6" width="17.25390625" style="6" customWidth="1"/>
    <col min="7" max="7" width="21.875" style="6" customWidth="1"/>
    <col min="8" max="8" width="21.375" style="6" customWidth="1"/>
    <col min="9" max="9" width="26.00390625" style="6" customWidth="1"/>
    <col min="10" max="10" width="19.75390625" style="6" customWidth="1"/>
    <col min="11" max="11" width="16.75390625" style="6" customWidth="1"/>
    <col min="12" max="16384" width="9.125" style="6" customWidth="1"/>
  </cols>
  <sheetData>
    <row r="1" ht="15.75" customHeight="1"/>
    <row r="2" spans="2:6" s="58" customFormat="1" ht="14.25">
      <c r="B2" s="222" t="s">
        <v>255</v>
      </c>
      <c r="C2" s="222"/>
      <c r="D2" s="222"/>
      <c r="E2" s="66"/>
      <c r="F2" s="66"/>
    </row>
    <row r="5" spans="1:8" s="10" customFormat="1" ht="123" customHeight="1">
      <c r="A5" s="250"/>
      <c r="B5" s="52" t="s">
        <v>202</v>
      </c>
      <c r="C5" s="86" t="s">
        <v>204</v>
      </c>
      <c r="D5" s="86" t="s">
        <v>205</v>
      </c>
      <c r="E5" s="86" t="s">
        <v>214</v>
      </c>
      <c r="F5" s="60" t="s">
        <v>210</v>
      </c>
      <c r="G5" s="60" t="s">
        <v>206</v>
      </c>
      <c r="H5" s="31" t="s">
        <v>249</v>
      </c>
    </row>
    <row r="6" spans="1:8" s="10" customFormat="1" ht="29.25" customHeight="1">
      <c r="A6" s="250"/>
      <c r="B6" s="64" t="s">
        <v>79</v>
      </c>
      <c r="C6" s="87" t="s">
        <v>209</v>
      </c>
      <c r="D6" s="87" t="s">
        <v>208</v>
      </c>
      <c r="E6" s="87" t="s">
        <v>215</v>
      </c>
      <c r="F6" s="61" t="s">
        <v>139</v>
      </c>
      <c r="G6" s="60" t="s">
        <v>40</v>
      </c>
      <c r="H6" s="31" t="s">
        <v>250</v>
      </c>
    </row>
    <row r="7" spans="1:8" s="10" customFormat="1" ht="90" customHeight="1">
      <c r="A7" s="250"/>
      <c r="B7" s="53" t="s">
        <v>207</v>
      </c>
      <c r="C7" s="259" t="s">
        <v>203</v>
      </c>
      <c r="D7" s="259" t="s">
        <v>203</v>
      </c>
      <c r="E7" s="259" t="s">
        <v>203</v>
      </c>
      <c r="F7" s="53" t="s">
        <v>211</v>
      </c>
      <c r="G7" s="60" t="s">
        <v>213</v>
      </c>
      <c r="H7" s="31" t="s">
        <v>203</v>
      </c>
    </row>
    <row r="8" spans="1:8" s="10" customFormat="1" ht="15">
      <c r="A8" s="250"/>
      <c r="B8" s="53" t="s">
        <v>212</v>
      </c>
      <c r="C8" s="260"/>
      <c r="D8" s="260"/>
      <c r="E8" s="260"/>
      <c r="F8" s="53" t="s">
        <v>216</v>
      </c>
      <c r="G8" s="60"/>
      <c r="H8" s="56"/>
    </row>
    <row r="9" spans="1:8" s="10" customFormat="1" ht="15">
      <c r="A9" s="250"/>
      <c r="B9" s="53">
        <v>1</v>
      </c>
      <c r="C9" s="9">
        <v>2</v>
      </c>
      <c r="D9" s="9">
        <v>3</v>
      </c>
      <c r="E9" s="9">
        <v>4</v>
      </c>
      <c r="F9" s="53">
        <v>5</v>
      </c>
      <c r="G9" s="53">
        <v>6</v>
      </c>
      <c r="H9" s="56"/>
    </row>
    <row r="10" spans="1:8" ht="15">
      <c r="A10" s="23" t="s">
        <v>5</v>
      </c>
      <c r="B10" s="62">
        <f>SUM(C10+D10)</f>
        <v>1641</v>
      </c>
      <c r="C10" s="88">
        <v>0</v>
      </c>
      <c r="D10" s="89">
        <v>1641</v>
      </c>
      <c r="E10" s="89">
        <v>0</v>
      </c>
      <c r="F10" s="65">
        <f aca="true" t="shared" si="0" ref="F10:F21">SUM(C10+G10)</f>
        <v>1641</v>
      </c>
      <c r="G10" s="65">
        <f>SUM(D10*(1-($D$22+$C$22+$E$22-$B$22)/$D$22))</f>
        <v>1641</v>
      </c>
      <c r="H10" s="11">
        <v>649</v>
      </c>
    </row>
    <row r="11" spans="1:8" ht="15">
      <c r="A11" s="23" t="s">
        <v>6</v>
      </c>
      <c r="B11" s="62">
        <f aca="true" t="shared" si="1" ref="B11:B21">SUM(C11+D11)</f>
        <v>602</v>
      </c>
      <c r="C11" s="88">
        <v>0</v>
      </c>
      <c r="D11" s="89">
        <v>602</v>
      </c>
      <c r="E11" s="89">
        <v>0</v>
      </c>
      <c r="F11" s="65">
        <f t="shared" si="0"/>
        <v>602</v>
      </c>
      <c r="G11" s="65">
        <f aca="true" t="shared" si="2" ref="G11:G21">SUM(D11*(1-($D$22+$C$22+$E$22-$B$22)/$D$22))</f>
        <v>602</v>
      </c>
      <c r="H11" s="11">
        <v>602</v>
      </c>
    </row>
    <row r="12" spans="1:8" ht="15">
      <c r="A12" s="23" t="s">
        <v>7</v>
      </c>
      <c r="B12" s="62">
        <f t="shared" si="1"/>
        <v>314</v>
      </c>
      <c r="C12" s="88">
        <v>0</v>
      </c>
      <c r="D12" s="89">
        <v>314</v>
      </c>
      <c r="E12" s="89">
        <v>0</v>
      </c>
      <c r="F12" s="65">
        <f t="shared" si="0"/>
        <v>314</v>
      </c>
      <c r="G12" s="65">
        <f t="shared" si="2"/>
        <v>314</v>
      </c>
      <c r="H12" s="11">
        <v>314</v>
      </c>
    </row>
    <row r="13" spans="1:8" ht="15">
      <c r="A13" s="23" t="s">
        <v>8</v>
      </c>
      <c r="B13" s="62">
        <f t="shared" si="1"/>
        <v>2937</v>
      </c>
      <c r="C13" s="88">
        <v>0</v>
      </c>
      <c r="D13" s="89">
        <v>2937</v>
      </c>
      <c r="E13" s="89">
        <v>0</v>
      </c>
      <c r="F13" s="65">
        <f t="shared" si="0"/>
        <v>2937</v>
      </c>
      <c r="G13" s="65">
        <f t="shared" si="2"/>
        <v>2937</v>
      </c>
      <c r="H13" s="11">
        <v>963</v>
      </c>
    </row>
    <row r="14" spans="1:8" ht="15">
      <c r="A14" s="23" t="s">
        <v>9</v>
      </c>
      <c r="B14" s="62">
        <f t="shared" si="1"/>
        <v>830</v>
      </c>
      <c r="C14" s="88">
        <v>0</v>
      </c>
      <c r="D14" s="89">
        <v>830</v>
      </c>
      <c r="E14" s="89">
        <v>0</v>
      </c>
      <c r="F14" s="65">
        <f t="shared" si="0"/>
        <v>830</v>
      </c>
      <c r="G14" s="65">
        <f t="shared" si="2"/>
        <v>830</v>
      </c>
      <c r="H14" s="11">
        <v>830</v>
      </c>
    </row>
    <row r="15" spans="1:8" ht="15">
      <c r="A15" s="23" t="s">
        <v>10</v>
      </c>
      <c r="B15" s="62">
        <f t="shared" si="1"/>
        <v>514</v>
      </c>
      <c r="C15" s="88">
        <v>0</v>
      </c>
      <c r="D15" s="89">
        <v>514</v>
      </c>
      <c r="E15" s="89">
        <v>0</v>
      </c>
      <c r="F15" s="65">
        <f t="shared" si="0"/>
        <v>514</v>
      </c>
      <c r="G15" s="65">
        <f t="shared" si="2"/>
        <v>514</v>
      </c>
      <c r="H15" s="11">
        <v>514</v>
      </c>
    </row>
    <row r="16" spans="1:8" ht="15">
      <c r="A16" s="23" t="s">
        <v>11</v>
      </c>
      <c r="B16" s="62">
        <f t="shared" si="1"/>
        <v>753</v>
      </c>
      <c r="C16" s="88">
        <v>0</v>
      </c>
      <c r="D16" s="89">
        <v>753</v>
      </c>
      <c r="E16" s="89">
        <v>0</v>
      </c>
      <c r="F16" s="65">
        <f t="shared" si="0"/>
        <v>753</v>
      </c>
      <c r="G16" s="65">
        <f t="shared" si="2"/>
        <v>753</v>
      </c>
      <c r="H16" s="11">
        <v>112</v>
      </c>
    </row>
    <row r="17" spans="1:8" ht="15">
      <c r="A17" s="23" t="s">
        <v>13</v>
      </c>
      <c r="B17" s="62">
        <f t="shared" si="1"/>
        <v>1455</v>
      </c>
      <c r="C17" s="88">
        <v>0</v>
      </c>
      <c r="D17" s="89">
        <v>1455</v>
      </c>
      <c r="E17" s="89">
        <v>0</v>
      </c>
      <c r="F17" s="65">
        <f t="shared" si="0"/>
        <v>1455</v>
      </c>
      <c r="G17" s="65">
        <f t="shared" si="2"/>
        <v>1455</v>
      </c>
      <c r="H17" s="11">
        <v>146</v>
      </c>
    </row>
    <row r="18" spans="1:8" ht="15">
      <c r="A18" s="23" t="s">
        <v>12</v>
      </c>
      <c r="B18" s="62">
        <f t="shared" si="1"/>
        <v>1786</v>
      </c>
      <c r="C18" s="88">
        <v>0</v>
      </c>
      <c r="D18" s="89">
        <v>1786</v>
      </c>
      <c r="E18" s="89">
        <v>0</v>
      </c>
      <c r="F18" s="65">
        <f t="shared" si="0"/>
        <v>1786</v>
      </c>
      <c r="G18" s="65">
        <f t="shared" si="2"/>
        <v>1786</v>
      </c>
      <c r="H18" s="11">
        <v>1021</v>
      </c>
    </row>
    <row r="19" spans="1:8" ht="15">
      <c r="A19" s="23" t="s">
        <v>14</v>
      </c>
      <c r="B19" s="62">
        <f t="shared" si="1"/>
        <v>541</v>
      </c>
      <c r="C19" s="88">
        <v>0</v>
      </c>
      <c r="D19" s="89">
        <v>541</v>
      </c>
      <c r="E19" s="89">
        <v>0</v>
      </c>
      <c r="F19" s="65">
        <f t="shared" si="0"/>
        <v>541</v>
      </c>
      <c r="G19" s="65">
        <f t="shared" si="2"/>
        <v>541</v>
      </c>
      <c r="H19" s="11">
        <v>541</v>
      </c>
    </row>
    <row r="20" spans="1:8" ht="15">
      <c r="A20" s="23" t="s">
        <v>15</v>
      </c>
      <c r="B20" s="62">
        <f t="shared" si="1"/>
        <v>1782</v>
      </c>
      <c r="C20" s="88">
        <v>0</v>
      </c>
      <c r="D20" s="89">
        <v>1782</v>
      </c>
      <c r="E20" s="89">
        <v>0</v>
      </c>
      <c r="F20" s="65">
        <f t="shared" si="0"/>
        <v>1782</v>
      </c>
      <c r="G20" s="65">
        <f t="shared" si="2"/>
        <v>1782</v>
      </c>
      <c r="H20" s="11">
        <v>338</v>
      </c>
    </row>
    <row r="21" spans="1:8" ht="15">
      <c r="A21" s="23" t="s">
        <v>16</v>
      </c>
      <c r="B21" s="62">
        <f t="shared" si="1"/>
        <v>705</v>
      </c>
      <c r="C21" s="88">
        <v>0</v>
      </c>
      <c r="D21" s="89">
        <v>705</v>
      </c>
      <c r="E21" s="89">
        <v>0</v>
      </c>
      <c r="F21" s="65">
        <f t="shared" si="0"/>
        <v>705</v>
      </c>
      <c r="G21" s="65">
        <f t="shared" si="2"/>
        <v>705</v>
      </c>
      <c r="H21" s="11">
        <v>705</v>
      </c>
    </row>
    <row r="22" spans="1:8" s="58" customFormat="1" ht="14.25">
      <c r="A22" s="24" t="s">
        <v>2</v>
      </c>
      <c r="B22" s="63">
        <f aca="true" t="shared" si="3" ref="B22:H22">SUM(B10:B21)</f>
        <v>13860</v>
      </c>
      <c r="C22" s="90">
        <f t="shared" si="3"/>
        <v>0</v>
      </c>
      <c r="D22" s="90">
        <f t="shared" si="3"/>
        <v>13860</v>
      </c>
      <c r="E22" s="90">
        <f t="shared" si="3"/>
        <v>0</v>
      </c>
      <c r="F22" s="63">
        <f t="shared" si="3"/>
        <v>13860</v>
      </c>
      <c r="G22" s="63">
        <f t="shared" si="3"/>
        <v>13860</v>
      </c>
      <c r="H22" s="85">
        <f t="shared" si="3"/>
        <v>6735</v>
      </c>
    </row>
  </sheetData>
  <sheetProtection/>
  <mergeCells count="5">
    <mergeCell ref="E7:E8"/>
    <mergeCell ref="B2:D2"/>
    <mergeCell ref="A5:A9"/>
    <mergeCell ref="C7:C8"/>
    <mergeCell ref="D7:D8"/>
  </mergeCells>
  <printOptions/>
  <pageMargins left="0.39" right="0.36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olga_d</dc:creator>
  <cp:keywords/>
  <dc:description/>
  <cp:lastModifiedBy>Sisolytina_EV</cp:lastModifiedBy>
  <cp:lastPrinted>2013-11-29T04:30:59Z</cp:lastPrinted>
  <dcterms:created xsi:type="dcterms:W3CDTF">2006-06-15T06:54:09Z</dcterms:created>
  <dcterms:modified xsi:type="dcterms:W3CDTF">2014-01-14T23:45:14Z</dcterms:modified>
  <cp:category/>
  <cp:version/>
  <cp:contentType/>
  <cp:contentStatus/>
</cp:coreProperties>
</file>